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12.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drawings/drawing13.xml" ContentType="application/vnd.openxmlformats-officedocument.drawing+xml"/>
  <Override PartName="/xl/charts/chart18.xml" ContentType="application/vnd.openxmlformats-officedocument.drawingml.chart+xml"/>
  <Override PartName="/xl/drawings/drawing14.xml" ContentType="application/vnd.openxmlformats-officedocument.drawing+xml"/>
  <Override PartName="/xl/charts/chart19.xml" ContentType="application/vnd.openxmlformats-officedocument.drawingml.chart+xml"/>
  <Override PartName="/xl/drawings/drawing15.xml" ContentType="application/vnd.openxmlformats-officedocument.drawing+xml"/>
  <Override PartName="/xl/charts/chart20.xml" ContentType="application/vnd.openxmlformats-officedocument.drawingml.chart+xml"/>
  <Override PartName="/xl/drawings/drawing16.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7.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8.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19.xml" ContentType="application/vnd.openxmlformats-officedocument.drawing+xml"/>
  <Override PartName="/xl/charts/chart28.xml" ContentType="application/vnd.openxmlformats-officedocument.drawingml.chart+xml"/>
  <Override PartName="/xl/drawings/drawing20.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drawings/drawing21.xml" ContentType="application/vnd.openxmlformats-officedocument.drawing+xml"/>
  <Override PartName="/xl/charts/chart32.xml" ContentType="application/vnd.openxmlformats-officedocument.drawingml.chart+xml"/>
  <Override PartName="/xl/drawings/drawing22.xml" ContentType="application/vnd.openxmlformats-officedocument.drawing+xml"/>
  <Override PartName="/xl/charts/chart33.xml" ContentType="application/vnd.openxmlformats-officedocument.drawingml.chart+xml"/>
  <Override PartName="/xl/charts/chart34.xml" ContentType="application/vnd.openxmlformats-officedocument.drawingml.chart+xml"/>
  <Override PartName="/xl/drawings/drawing23.xml" ContentType="application/vnd.openxmlformats-officedocument.drawing+xml"/>
  <Override PartName="/xl/charts/chart35.xml" ContentType="application/vnd.openxmlformats-officedocument.drawingml.chart+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autoCompressPictures="0"/>
  <mc:AlternateContent xmlns:mc="http://schemas.openxmlformats.org/markup-compatibility/2006">
    <mc:Choice Requires="x15">
      <x15ac:absPath xmlns:x15ac="http://schemas.microsoft.com/office/spreadsheetml/2010/11/ac" url="G:\TRESORERIA\ADMINISTRACIÓ DIGITAL I GESTIÓ DE DADES\WEB FINANCES- PART IG\"/>
    </mc:Choice>
  </mc:AlternateContent>
  <xr:revisionPtr revIDLastSave="0" documentId="13_ncr:1_{59C67EFB-FD49-457E-9D64-2E1231285FED}" xr6:coauthVersionLast="47" xr6:coauthVersionMax="47" xr10:uidLastSave="{00000000-0000-0000-0000-000000000000}"/>
  <bookViews>
    <workbookView xWindow="25974" yWindow="-109" windowWidth="26301" windowHeight="14305" tabRatio="968" firstSheet="1" activeTab="2" xr2:uid="{00000000-000D-0000-FFFF-FFFF00000000}"/>
  </bookViews>
  <sheets>
    <sheet name="LIQUIDACIO INGRESSOS CAIB" sheetId="1" r:id="rId1"/>
    <sheet name="LIQUIDACIO DESPESES CAIB " sheetId="2" r:id="rId2"/>
    <sheet name="DRETS RECONEGUTS CAIB" sheetId="3" r:id="rId3"/>
    <sheet name="OBLIGAGIONS RECON. CAIB " sheetId="4" r:id="rId4"/>
    <sheet name="DRETS R. CORRENT-CAPITAL CAIB" sheetId="5" r:id="rId5"/>
    <sheet name="OBLIGA.R. CORRENT-CAPITAL CAIB" sheetId="6" r:id="rId6"/>
    <sheet name="INGRESSOS TRIBUTS CEDITS CAIB " sheetId="31" r:id="rId7"/>
    <sheet name="DESPESA OBLIGATORIA CAIB" sheetId="7" r:id="rId8"/>
    <sheet name="DESPESA LLIURE DISPOS CAIB" sheetId="8" r:id="rId9"/>
    <sheet name="ESTALVI BRUT-NET CAIB" sheetId="9" r:id="rId10"/>
    <sheet name="RESULTAT EXERCICI  CAIB" sheetId="10" r:id="rId11"/>
    <sheet name="RESULTAT NO FINANCER CAIB" sheetId="11" r:id="rId12"/>
    <sheet name="ROMANENT TRESORERIA CAIB" sheetId="12" r:id="rId13"/>
    <sheet name="INVERSIONS - ENDEUTAMENT CAIB " sheetId="13" r:id="rId14"/>
    <sheet name="CAPITOL 9 CAIB" sheetId="14" r:id="rId15"/>
    <sheet name="OBLIGACIONS CAPITOL 4 CAIB" sheetId="15" r:id="rId16"/>
    <sheet name="OBLIGACIONS CAPITOL 7 CAIB" sheetId="16" r:id="rId17"/>
    <sheet name="OBLIGACIONS CAPS. 4 -7 CAIB" sheetId="17" r:id="rId18"/>
    <sheet name="TRANSFERENCIES A ENS CAIB" sheetId="18" r:id="rId19"/>
    <sheet name="EVOLUCIO DESPESES INVERSIO CAIB" sheetId="19" r:id="rId20"/>
    <sheet name="COMPROMISOS FUTURS" sheetId="20" r:id="rId21"/>
    <sheet name="DEUTE VIU" sheetId="21" r:id="rId22"/>
    <sheet name="Riesgo efectivo 2001-10 JG" sheetId="43" state="hidden" r:id="rId23"/>
    <sheet name="Ahorro Liquidado 2002-11 " sheetId="40" state="hidden" r:id="rId24"/>
    <sheet name="Liquidado  2002-11" sheetId="39" state="hidden" r:id="rId25"/>
    <sheet name="COBERTURA INVERSIONS" sheetId="27" r:id="rId26"/>
    <sheet name="FINANÇAMENT AUTONOMIC X ANYS" sheetId="88" r:id="rId27"/>
    <sheet name="FINANÇAMENT AUTONOMIC X COBROS" sheetId="87" r:id="rId28"/>
    <sheet name="Datos Tributos Cedidos" sheetId="46" state="hidden" r:id="rId29"/>
    <sheet name="Datos resul Entid CAIB" sheetId="44" state="hidden" r:id="rId30"/>
    <sheet name="Entidades CAIB fondos p" sheetId="45" state="hidden" r:id="rId31"/>
  </sheets>
  <definedNames>
    <definedName name="_xlnm.Print_Area" localSheetId="23">'Ahorro Liquidado 2002-11 '!$A$1:$O$22</definedName>
    <definedName name="_xlnm.Print_Area" localSheetId="14">'CAPITOL 9 CAIB'!$A$1:$W$43</definedName>
    <definedName name="_xlnm.Print_Area" localSheetId="25">'COBERTURA INVERSIONS'!$A$1:$W$43</definedName>
    <definedName name="_xlnm.Print_Area" localSheetId="20">'COMPROMISOS FUTURS'!$A$1:$W$37</definedName>
    <definedName name="_xlnm.Print_Area" localSheetId="29">'Datos resul Entid CAIB'!$A$1:$H$40</definedName>
    <definedName name="_xlnm.Print_Area" localSheetId="28">'Datos Tributos Cedidos'!$A$1:$E$93</definedName>
    <definedName name="_xlnm.Print_Area" localSheetId="8">'DESPESA LLIURE DISPOS CAIB'!$A$1:$W$43</definedName>
    <definedName name="_xlnm.Print_Area" localSheetId="7">'DESPESA OBLIGATORIA CAIB'!$A$1:$W$44</definedName>
    <definedName name="_xlnm.Print_Area" localSheetId="21">'DEUTE VIU'!$A$1:$W$48</definedName>
    <definedName name="_xlnm.Print_Area" localSheetId="4">'DRETS R. CORRENT-CAPITAL CAIB'!$A$1:$W$32</definedName>
    <definedName name="_xlnm.Print_Area" localSheetId="2">'DRETS RECONEGUTS CAIB'!$A$1:$W$24</definedName>
    <definedName name="_xlnm.Print_Area" localSheetId="19">'EVOLUCIO DESPESES INVERSIO CAIB'!$A$1:$W$31</definedName>
    <definedName name="_xlnm.Print_Area" localSheetId="6">'INGRESSOS TRIBUTS CEDITS CAIB '!$A$1:$H$46</definedName>
    <definedName name="_xlnm.Print_Area" localSheetId="13">'INVERSIONS - ENDEUTAMENT CAIB '!$A$1:$W$38</definedName>
    <definedName name="_xlnm.Print_Area" localSheetId="1">'LIQUIDACIO DESPESES CAIB '!$A$1:$G$49</definedName>
    <definedName name="_xlnm.Print_Area" localSheetId="0">'LIQUIDACIO INGRESSOS CAIB'!$A$1:$G$49</definedName>
    <definedName name="_xlnm.Print_Area" localSheetId="5">'OBLIGA.R. CORRENT-CAPITAL CAIB'!$A$1:$W$30</definedName>
    <definedName name="_xlnm.Print_Area" localSheetId="15">'OBLIGACIONS CAPITOL 4 CAIB'!$A$1:$W$37</definedName>
    <definedName name="_xlnm.Print_Area" localSheetId="16">'OBLIGACIONS CAPITOL 7 CAIB'!$A$1:$W$35</definedName>
    <definedName name="_xlnm.Print_Area" localSheetId="17">'OBLIGACIONS CAPS. 4 -7 CAIB'!$A$1:$W$34</definedName>
    <definedName name="_xlnm.Print_Area" localSheetId="3">'OBLIGAGIONS RECON. CAIB '!$A$1:$W$23</definedName>
    <definedName name="_xlnm.Print_Area" localSheetId="10">'RESULTAT EXERCICI  CAIB'!$A$1:$W$40</definedName>
    <definedName name="_xlnm.Print_Area" localSheetId="11">'RESULTAT NO FINANCER CAIB'!$A$1:$W$40</definedName>
    <definedName name="_xlnm.Print_Area" localSheetId="12">'ROMANENT TRESORERIA CAIB'!$A$1:$W$36</definedName>
    <definedName name="_xlnm.Print_Area" localSheetId="18">'TRANSFERENCIES A ENS CAIB'!$A$1:$W$38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10" i="19" l="1"/>
  <c r="O11" i="19"/>
  <c r="P10" i="19"/>
  <c r="P11" i="19"/>
  <c r="Q10" i="19"/>
  <c r="Q11" i="19"/>
  <c r="R10" i="19"/>
  <c r="R11" i="19"/>
  <c r="S10" i="19"/>
  <c r="S11" i="19"/>
  <c r="T10" i="19"/>
  <c r="T11" i="19"/>
  <c r="W18" i="21" l="1"/>
  <c r="D21" i="87" l="1"/>
  <c r="C21" i="87"/>
  <c r="F20" i="87"/>
  <c r="F19" i="87"/>
  <c r="F18" i="87"/>
  <c r="F17" i="87"/>
  <c r="F16" i="87"/>
  <c r="F15" i="87"/>
  <c r="E14" i="87"/>
  <c r="F14" i="87" s="1"/>
  <c r="F13" i="87"/>
  <c r="E12" i="87"/>
  <c r="F12" i="87" s="1"/>
  <c r="V21" i="21"/>
  <c r="U21" i="21"/>
  <c r="T21" i="21"/>
  <c r="S21" i="21"/>
  <c r="R21" i="21"/>
  <c r="Q21" i="21"/>
  <c r="P21" i="21"/>
  <c r="O21" i="21"/>
  <c r="N21" i="21"/>
  <c r="V13" i="21"/>
  <c r="U13" i="21"/>
  <c r="T13" i="21"/>
  <c r="S13" i="21"/>
  <c r="R13" i="21"/>
  <c r="Q13" i="21"/>
  <c r="P13" i="21"/>
  <c r="O13" i="21"/>
  <c r="N13" i="21"/>
  <c r="S13" i="19"/>
  <c r="O13" i="19"/>
  <c r="V11" i="19"/>
  <c r="U11" i="19"/>
  <c r="T13" i="19"/>
  <c r="P13" i="19"/>
  <c r="V10" i="19"/>
  <c r="V13" i="19" s="1"/>
  <c r="U10" i="19"/>
  <c r="U13" i="19" s="1"/>
  <c r="R13" i="19"/>
  <c r="Q13" i="19"/>
  <c r="P12" i="18"/>
  <c r="V10" i="18"/>
  <c r="U10" i="18"/>
  <c r="U12" i="18" s="1"/>
  <c r="T10" i="18"/>
  <c r="T12" i="18" s="1"/>
  <c r="S10" i="18"/>
  <c r="R10" i="18"/>
  <c r="Q10" i="18"/>
  <c r="P10" i="18"/>
  <c r="O10" i="18"/>
  <c r="N10" i="18"/>
  <c r="V9" i="18"/>
  <c r="U9" i="18"/>
  <c r="T9" i="18"/>
  <c r="S9" i="18"/>
  <c r="S12" i="18" s="1"/>
  <c r="R9" i="18"/>
  <c r="R12" i="18" s="1"/>
  <c r="Q9" i="18"/>
  <c r="P9" i="18"/>
  <c r="O9" i="18"/>
  <c r="O12" i="18" s="1"/>
  <c r="N9" i="18"/>
  <c r="N12" i="18" s="1"/>
  <c r="W13" i="16"/>
  <c r="W13" i="15"/>
  <c r="V10" i="17"/>
  <c r="U10" i="17"/>
  <c r="T10" i="17"/>
  <c r="S10" i="17"/>
  <c r="R10" i="17"/>
  <c r="Q10" i="17"/>
  <c r="P10" i="17"/>
  <c r="P12" i="17" s="1"/>
  <c r="O10" i="17"/>
  <c r="O12" i="17" s="1"/>
  <c r="V9" i="17"/>
  <c r="V12" i="17" s="1"/>
  <c r="U9" i="17"/>
  <c r="U12" i="17" s="1"/>
  <c r="T9" i="17"/>
  <c r="S9" i="17"/>
  <c r="S12" i="17" s="1"/>
  <c r="R9" i="17"/>
  <c r="Q9" i="17"/>
  <c r="P9" i="17"/>
  <c r="O9" i="17"/>
  <c r="V13" i="16"/>
  <c r="T13" i="16"/>
  <c r="S13" i="16"/>
  <c r="R13" i="16"/>
  <c r="Q13" i="16"/>
  <c r="P13" i="16"/>
  <c r="O13" i="16"/>
  <c r="N13" i="16"/>
  <c r="V9" i="16"/>
  <c r="U9" i="16"/>
  <c r="T9" i="16"/>
  <c r="T15" i="16" s="1"/>
  <c r="S9" i="16"/>
  <c r="S15" i="16" s="1"/>
  <c r="R9" i="16"/>
  <c r="R15" i="16" s="1"/>
  <c r="Q9" i="16"/>
  <c r="P9" i="16"/>
  <c r="O9" i="16"/>
  <c r="V13" i="15"/>
  <c r="T13" i="15"/>
  <c r="S13" i="15"/>
  <c r="S15" i="15" s="1"/>
  <c r="R13" i="15"/>
  <c r="Q13" i="15"/>
  <c r="P13" i="15"/>
  <c r="O13" i="15"/>
  <c r="O15" i="15" s="1"/>
  <c r="N13" i="15"/>
  <c r="N15" i="15" s="1"/>
  <c r="V9" i="15"/>
  <c r="V15" i="15" s="1"/>
  <c r="U9" i="15"/>
  <c r="U15" i="15" s="1"/>
  <c r="T9" i="15"/>
  <c r="S9" i="15"/>
  <c r="R9" i="15"/>
  <c r="Q9" i="15"/>
  <c r="P9" i="15"/>
  <c r="O9" i="15"/>
  <c r="V11" i="14"/>
  <c r="U11" i="14"/>
  <c r="T11" i="14"/>
  <c r="T13" i="14" s="1"/>
  <c r="S11" i="14"/>
  <c r="S13" i="14" s="1"/>
  <c r="R11" i="14"/>
  <c r="Q11" i="14"/>
  <c r="Q13" i="14" s="1"/>
  <c r="P11" i="14"/>
  <c r="P13" i="14" s="1"/>
  <c r="O11" i="14"/>
  <c r="O13" i="14" s="1"/>
  <c r="V10" i="14"/>
  <c r="U10" i="14"/>
  <c r="T10" i="14"/>
  <c r="S10" i="14"/>
  <c r="R10" i="14"/>
  <c r="Q10" i="14"/>
  <c r="P10" i="14"/>
  <c r="O10" i="14"/>
  <c r="V12" i="13"/>
  <c r="R12" i="13"/>
  <c r="O12" i="13"/>
  <c r="S11" i="13"/>
  <c r="V10" i="13"/>
  <c r="U10" i="13"/>
  <c r="T10" i="13"/>
  <c r="S10" i="13"/>
  <c r="R10" i="13"/>
  <c r="Q10" i="13"/>
  <c r="P10" i="13"/>
  <c r="O10" i="13"/>
  <c r="O11" i="13" s="1"/>
  <c r="V9" i="13"/>
  <c r="U9" i="13"/>
  <c r="U12" i="13" s="1"/>
  <c r="T9" i="13"/>
  <c r="S9" i="13"/>
  <c r="S12" i="13" s="1"/>
  <c r="R9" i="13"/>
  <c r="Q9" i="13"/>
  <c r="Q12" i="13" s="1"/>
  <c r="P9" i="13"/>
  <c r="O9" i="13"/>
  <c r="V16" i="11"/>
  <c r="U16" i="11"/>
  <c r="T16" i="11"/>
  <c r="S16" i="11"/>
  <c r="R16" i="11"/>
  <c r="Q16" i="11"/>
  <c r="P16" i="11"/>
  <c r="O16" i="11"/>
  <c r="N16" i="11"/>
  <c r="O16" i="10"/>
  <c r="U15" i="9"/>
  <c r="T15" i="9"/>
  <c r="S15" i="9"/>
  <c r="R15" i="9"/>
  <c r="Q15" i="9"/>
  <c r="P15" i="9"/>
  <c r="O15" i="9"/>
  <c r="N15" i="9"/>
  <c r="V11" i="8"/>
  <c r="U11" i="8"/>
  <c r="T11" i="8"/>
  <c r="S11" i="8"/>
  <c r="R11" i="8"/>
  <c r="Q11" i="8"/>
  <c r="P11" i="8"/>
  <c r="O11" i="8"/>
  <c r="V17" i="7"/>
  <c r="U17" i="7"/>
  <c r="U19" i="7" s="1"/>
  <c r="T17" i="7"/>
  <c r="S17" i="7"/>
  <c r="R17" i="7"/>
  <c r="Q17" i="7"/>
  <c r="Q19" i="7" s="1"/>
  <c r="P17" i="7"/>
  <c r="O17" i="7"/>
  <c r="V16" i="7"/>
  <c r="U16" i="7"/>
  <c r="T16" i="7"/>
  <c r="S16" i="7"/>
  <c r="R16" i="7"/>
  <c r="Q16" i="7"/>
  <c r="P16" i="7"/>
  <c r="O16" i="7"/>
  <c r="V12" i="7"/>
  <c r="U12" i="7"/>
  <c r="T12" i="7"/>
  <c r="S12" i="7"/>
  <c r="R12" i="7"/>
  <c r="Q12" i="7"/>
  <c r="P12" i="7"/>
  <c r="O12" i="7"/>
  <c r="V11" i="7"/>
  <c r="U11" i="7"/>
  <c r="T11" i="7"/>
  <c r="T14" i="7" s="1"/>
  <c r="S11" i="7"/>
  <c r="R11" i="7"/>
  <c r="Q11" i="7"/>
  <c r="Q14" i="7" s="1"/>
  <c r="P11" i="7"/>
  <c r="P14" i="7" s="1"/>
  <c r="O11" i="7"/>
  <c r="V10" i="7"/>
  <c r="V14" i="7" s="1"/>
  <c r="U10" i="7"/>
  <c r="T10" i="7"/>
  <c r="S10" i="7"/>
  <c r="R10" i="7"/>
  <c r="Q10" i="7"/>
  <c r="P10" i="7"/>
  <c r="O10" i="7"/>
  <c r="Q20" i="7" l="1"/>
  <c r="U14" i="7"/>
  <c r="U20" i="7" s="1"/>
  <c r="T12" i="17"/>
  <c r="O15" i="16"/>
  <c r="P15" i="16"/>
  <c r="R13" i="14"/>
  <c r="U13" i="14"/>
  <c r="Q15" i="16"/>
  <c r="O19" i="7"/>
  <c r="V13" i="14"/>
  <c r="P19" i="7"/>
  <c r="P20" i="7" s="1"/>
  <c r="P12" i="13"/>
  <c r="Q11" i="13"/>
  <c r="V12" i="18"/>
  <c r="O14" i="7"/>
  <c r="O20" i="7" s="1"/>
  <c r="R19" i="7"/>
  <c r="R11" i="13"/>
  <c r="S19" i="7"/>
  <c r="P15" i="15"/>
  <c r="V20" i="7"/>
  <c r="T19" i="7"/>
  <c r="T20" i="7" s="1"/>
  <c r="T12" i="13"/>
  <c r="Q15" i="15"/>
  <c r="R14" i="7"/>
  <c r="R20" i="7" s="1"/>
  <c r="U11" i="13"/>
  <c r="R15" i="15"/>
  <c r="Q12" i="18"/>
  <c r="S14" i="7"/>
  <c r="S20" i="7" s="1"/>
  <c r="V19" i="7"/>
  <c r="V11" i="13"/>
  <c r="Q12" i="17"/>
  <c r="T15" i="15"/>
  <c r="R12" i="17"/>
  <c r="P11" i="13"/>
  <c r="T11" i="13"/>
  <c r="T10" i="8" l="1"/>
  <c r="T13" i="8" s="1"/>
  <c r="P21" i="7"/>
  <c r="P10" i="8"/>
  <c r="P13" i="8" s="1"/>
  <c r="S10" i="8"/>
  <c r="S13" i="8" s="1"/>
  <c r="R10" i="8"/>
  <c r="R13" i="8" s="1"/>
  <c r="O10" i="8"/>
  <c r="O13" i="8" s="1"/>
  <c r="V21" i="7"/>
  <c r="V10" i="8"/>
  <c r="V13" i="8" s="1"/>
  <c r="U21" i="7"/>
  <c r="U10" i="8"/>
  <c r="U13" i="8" s="1"/>
  <c r="Q21" i="7"/>
  <c r="Q10" i="8"/>
  <c r="Q13" i="8" s="1"/>
  <c r="H30" i="31"/>
  <c r="H29" i="31"/>
  <c r="H28" i="31"/>
  <c r="H27" i="31"/>
  <c r="H26" i="31"/>
  <c r="H25" i="31"/>
  <c r="H24" i="31"/>
  <c r="G23" i="31"/>
  <c r="H23" i="31" s="1"/>
  <c r="F23" i="31"/>
  <c r="H22" i="31"/>
  <c r="D30" i="31"/>
  <c r="D29" i="31"/>
  <c r="D28" i="31"/>
  <c r="D27" i="31"/>
  <c r="D26" i="31"/>
  <c r="D25" i="31"/>
  <c r="D24" i="31"/>
  <c r="C23" i="31"/>
  <c r="D23" i="31" s="1"/>
  <c r="B23" i="31"/>
  <c r="D22" i="31"/>
  <c r="V11" i="6"/>
  <c r="U11" i="6"/>
  <c r="T11" i="6"/>
  <c r="S11" i="6"/>
  <c r="R11" i="6"/>
  <c r="Q11" i="6"/>
  <c r="P11" i="6"/>
  <c r="O11" i="6"/>
  <c r="N11" i="6"/>
  <c r="V10" i="6"/>
  <c r="V10" i="27" s="1"/>
  <c r="U10" i="6"/>
  <c r="U10" i="27" s="1"/>
  <c r="T10" i="6"/>
  <c r="S10" i="6"/>
  <c r="S10" i="27" s="1"/>
  <c r="R10" i="6"/>
  <c r="R10" i="27" s="1"/>
  <c r="Q10" i="6"/>
  <c r="Q10" i="27" s="1"/>
  <c r="P10" i="6"/>
  <c r="O10" i="6"/>
  <c r="O10" i="27" s="1"/>
  <c r="N10" i="6"/>
  <c r="N10" i="27" s="1"/>
  <c r="V9" i="6"/>
  <c r="V13" i="6" s="1"/>
  <c r="V12" i="10" s="1"/>
  <c r="U9" i="6"/>
  <c r="T9" i="6"/>
  <c r="S9" i="6"/>
  <c r="R9" i="6"/>
  <c r="R13" i="6" s="1"/>
  <c r="R12" i="10" s="1"/>
  <c r="Q9" i="6"/>
  <c r="P9" i="6"/>
  <c r="O9" i="6"/>
  <c r="N9" i="6"/>
  <c r="N13" i="6" s="1"/>
  <c r="N12" i="10" s="1"/>
  <c r="V11" i="5"/>
  <c r="U11" i="5"/>
  <c r="T11" i="5"/>
  <c r="S11" i="5"/>
  <c r="R11" i="5"/>
  <c r="Q11" i="5"/>
  <c r="P11" i="5"/>
  <c r="O11" i="5"/>
  <c r="V10" i="5"/>
  <c r="U10" i="5"/>
  <c r="T10" i="5"/>
  <c r="S10" i="5"/>
  <c r="R10" i="5"/>
  <c r="Q10" i="5"/>
  <c r="P10" i="5"/>
  <c r="O10" i="5"/>
  <c r="V9" i="5"/>
  <c r="U9" i="5"/>
  <c r="T9" i="5"/>
  <c r="S9" i="5"/>
  <c r="R9" i="5"/>
  <c r="Q9" i="5"/>
  <c r="P9" i="5"/>
  <c r="O9" i="5"/>
  <c r="N9" i="5"/>
  <c r="V19" i="4"/>
  <c r="U19" i="4"/>
  <c r="T19" i="4"/>
  <c r="T21" i="7" s="1"/>
  <c r="S19" i="4"/>
  <c r="S21" i="7" s="1"/>
  <c r="R19" i="4"/>
  <c r="R21" i="7" s="1"/>
  <c r="Q19" i="4"/>
  <c r="P19" i="4"/>
  <c r="O19" i="4"/>
  <c r="O21" i="7" s="1"/>
  <c r="N17" i="4"/>
  <c r="N16" i="4"/>
  <c r="Z35" i="39" s="1"/>
  <c r="N15" i="4"/>
  <c r="N14" i="4"/>
  <c r="N13" i="4"/>
  <c r="N12" i="4"/>
  <c r="N11" i="4"/>
  <c r="N11" i="7" s="1"/>
  <c r="N10" i="4"/>
  <c r="V20" i="3"/>
  <c r="V10" i="10" s="1"/>
  <c r="U20" i="3"/>
  <c r="U10" i="10" s="1"/>
  <c r="T20" i="3"/>
  <c r="T10" i="10" s="1"/>
  <c r="S20" i="3"/>
  <c r="S10" i="10" s="1"/>
  <c r="R20" i="3"/>
  <c r="R10" i="10" s="1"/>
  <c r="Q20" i="3"/>
  <c r="Q10" i="10" s="1"/>
  <c r="P20" i="3"/>
  <c r="P10" i="10" s="1"/>
  <c r="O20" i="3"/>
  <c r="O10" i="10" s="1"/>
  <c r="N18" i="3"/>
  <c r="N16" i="3"/>
  <c r="Z12" i="39" s="1"/>
  <c r="N15" i="3"/>
  <c r="Z11" i="39" s="1"/>
  <c r="N14" i="3"/>
  <c r="N12" i="3"/>
  <c r="Z7" i="39" s="1"/>
  <c r="N11" i="3"/>
  <c r="N10" i="3"/>
  <c r="Z5" i="39" s="1"/>
  <c r="E32" i="2"/>
  <c r="E31" i="1"/>
  <c r="F21" i="87"/>
  <c r="E13" i="88"/>
  <c r="E14" i="88"/>
  <c r="E15" i="88"/>
  <c r="E16" i="88"/>
  <c r="E17" i="88"/>
  <c r="E18" i="88"/>
  <c r="E19" i="88"/>
  <c r="E20" i="88"/>
  <c r="W21" i="21"/>
  <c r="W9" i="16"/>
  <c r="H31" i="31"/>
  <c r="D31" i="31"/>
  <c r="W9" i="15"/>
  <c r="W13" i="21"/>
  <c r="W10" i="18"/>
  <c r="W9" i="18"/>
  <c r="W10" i="17"/>
  <c r="W9" i="17"/>
  <c r="W16" i="11"/>
  <c r="V15" i="9"/>
  <c r="W11" i="8"/>
  <c r="W17" i="7"/>
  <c r="W16" i="7"/>
  <c r="W12" i="7"/>
  <c r="W11" i="7"/>
  <c r="W10" i="7"/>
  <c r="W11" i="6"/>
  <c r="W10" i="6"/>
  <c r="W10" i="27" s="1"/>
  <c r="W9" i="6"/>
  <c r="W9" i="5"/>
  <c r="V10" i="9" s="1"/>
  <c r="E29" i="1"/>
  <c r="E30" i="2"/>
  <c r="W10" i="19"/>
  <c r="W11" i="19"/>
  <c r="W11" i="14"/>
  <c r="W10" i="14"/>
  <c r="W9" i="13"/>
  <c r="W10" i="13"/>
  <c r="W10" i="5"/>
  <c r="W20" i="3"/>
  <c r="W10" i="10" s="1"/>
  <c r="W19" i="4"/>
  <c r="W11" i="5"/>
  <c r="E31" i="2"/>
  <c r="E30" i="1"/>
  <c r="L13" i="16"/>
  <c r="L13" i="15"/>
  <c r="M13" i="16"/>
  <c r="M13" i="15"/>
  <c r="B10" i="7"/>
  <c r="C10" i="7"/>
  <c r="D10" i="7"/>
  <c r="D14" i="7" s="1"/>
  <c r="E10" i="7"/>
  <c r="F10" i="7"/>
  <c r="G10" i="7"/>
  <c r="G14" i="7" s="1"/>
  <c r="G20" i="7" s="1"/>
  <c r="G10" i="8" s="1"/>
  <c r="G13" i="8" s="1"/>
  <c r="H10" i="7"/>
  <c r="H14" i="7" s="1"/>
  <c r="I10" i="7"/>
  <c r="I14" i="7" s="1"/>
  <c r="J10" i="7"/>
  <c r="J14" i="7" s="1"/>
  <c r="J20" i="7" s="1"/>
  <c r="K10" i="7"/>
  <c r="K14" i="7" s="1"/>
  <c r="K20" i="7" s="1"/>
  <c r="L10" i="7"/>
  <c r="L14" i="7" s="1"/>
  <c r="L20" i="7" s="1"/>
  <c r="M10" i="7"/>
  <c r="M14" i="7" s="1"/>
  <c r="B11" i="7"/>
  <c r="B14" i="7" s="1"/>
  <c r="B20" i="7" s="1"/>
  <c r="C11" i="7"/>
  <c r="C14" i="7" s="1"/>
  <c r="C20" i="7" s="1"/>
  <c r="D11" i="7"/>
  <c r="E11" i="7"/>
  <c r="F11" i="7"/>
  <c r="F14" i="7" s="1"/>
  <c r="G11" i="7"/>
  <c r="H11" i="7"/>
  <c r="I11" i="7"/>
  <c r="J11" i="7"/>
  <c r="K11" i="7"/>
  <c r="L11" i="7"/>
  <c r="M11" i="7"/>
  <c r="B12" i="7"/>
  <c r="C12" i="7"/>
  <c r="D12" i="7"/>
  <c r="E12" i="7"/>
  <c r="F12" i="7"/>
  <c r="G12" i="7"/>
  <c r="H12" i="7"/>
  <c r="I12" i="7"/>
  <c r="J12" i="7"/>
  <c r="K12" i="7"/>
  <c r="L12" i="7"/>
  <c r="M12" i="7"/>
  <c r="E28" i="2"/>
  <c r="E28" i="1"/>
  <c r="J9" i="15"/>
  <c r="J15" i="15"/>
  <c r="K51" i="15" s="1"/>
  <c r="B9" i="5"/>
  <c r="B10" i="9" s="1"/>
  <c r="C9" i="5"/>
  <c r="C13" i="5" s="1"/>
  <c r="D9" i="5"/>
  <c r="D13" i="5" s="1"/>
  <c r="D10" i="9"/>
  <c r="E9" i="5"/>
  <c r="E13" i="5" s="1"/>
  <c r="E10" i="9"/>
  <c r="E13" i="9" s="1"/>
  <c r="E17" i="9" s="1"/>
  <c r="F9" i="5"/>
  <c r="F10" i="9" s="1"/>
  <c r="F13" i="9" s="1"/>
  <c r="F17" i="9" s="1"/>
  <c r="G9" i="5"/>
  <c r="G10" i="11" s="1"/>
  <c r="H9" i="5"/>
  <c r="H10" i="9" s="1"/>
  <c r="I9" i="5"/>
  <c r="J9" i="5"/>
  <c r="K9" i="5"/>
  <c r="J10" i="9"/>
  <c r="L9" i="5"/>
  <c r="M9" i="5"/>
  <c r="B10" i="5"/>
  <c r="C10" i="5"/>
  <c r="D10" i="5"/>
  <c r="E10" i="5"/>
  <c r="F10" i="5"/>
  <c r="G10" i="5"/>
  <c r="H10" i="5"/>
  <c r="I10" i="5"/>
  <c r="J10" i="5"/>
  <c r="J11" i="27" s="1"/>
  <c r="K10" i="5"/>
  <c r="L10" i="5"/>
  <c r="M10" i="5"/>
  <c r="B11" i="5"/>
  <c r="C11" i="5"/>
  <c r="D11" i="5"/>
  <c r="E11" i="5"/>
  <c r="F11" i="5"/>
  <c r="F13" i="5" s="1"/>
  <c r="G11" i="5"/>
  <c r="H11" i="5"/>
  <c r="H13" i="5" s="1"/>
  <c r="I11" i="5"/>
  <c r="J11" i="5"/>
  <c r="J13" i="5" s="1"/>
  <c r="K11" i="5"/>
  <c r="K13" i="5" s="1"/>
  <c r="L11" i="5"/>
  <c r="M11" i="5"/>
  <c r="F24" i="5"/>
  <c r="E27" i="2"/>
  <c r="E26" i="1"/>
  <c r="E29" i="2"/>
  <c r="E26" i="2"/>
  <c r="E27" i="1"/>
  <c r="E25" i="1"/>
  <c r="E103" i="46"/>
  <c r="E102" i="46"/>
  <c r="E101" i="46"/>
  <c r="E100" i="46"/>
  <c r="E98" i="46"/>
  <c r="E97" i="46"/>
  <c r="E96" i="46"/>
  <c r="E95" i="46"/>
  <c r="E93" i="46"/>
  <c r="E92" i="46"/>
  <c r="E91" i="46"/>
  <c r="E90" i="46"/>
  <c r="E87" i="46"/>
  <c r="E86" i="46"/>
  <c r="E85" i="46"/>
  <c r="E83" i="46"/>
  <c r="E82" i="46"/>
  <c r="E81" i="46"/>
  <c r="E80" i="46"/>
  <c r="E77" i="46"/>
  <c r="E76" i="46"/>
  <c r="E75" i="46"/>
  <c r="E73" i="46"/>
  <c r="E72" i="46"/>
  <c r="E71" i="46"/>
  <c r="E70" i="46"/>
  <c r="E67" i="46"/>
  <c r="E66" i="46"/>
  <c r="E65" i="46"/>
  <c r="E63" i="46"/>
  <c r="E62" i="46"/>
  <c r="E61" i="46"/>
  <c r="E60" i="46"/>
  <c r="E57" i="46"/>
  <c r="E56" i="46"/>
  <c r="E55" i="46"/>
  <c r="E53" i="46"/>
  <c r="E52" i="46"/>
  <c r="E51" i="46"/>
  <c r="E50" i="46"/>
  <c r="E48" i="46"/>
  <c r="D99" i="46"/>
  <c r="E99" i="46" s="1"/>
  <c r="C99" i="46"/>
  <c r="D94" i="46"/>
  <c r="C94" i="46"/>
  <c r="D89" i="46"/>
  <c r="C89" i="46"/>
  <c r="D88" i="46"/>
  <c r="C84" i="46"/>
  <c r="D79" i="46"/>
  <c r="C79" i="46"/>
  <c r="E79" i="46" s="1"/>
  <c r="D78" i="46"/>
  <c r="D74" i="46" s="1"/>
  <c r="E74" i="46" s="1"/>
  <c r="C74" i="46"/>
  <c r="D69" i="46"/>
  <c r="C69" i="46"/>
  <c r="E69" i="46"/>
  <c r="D68" i="46"/>
  <c r="D64" i="46" s="1"/>
  <c r="E64" i="46" s="1"/>
  <c r="C64" i="46"/>
  <c r="D59" i="46"/>
  <c r="C59" i="46"/>
  <c r="D58" i="46"/>
  <c r="C58" i="46"/>
  <c r="C54" i="46"/>
  <c r="D49" i="46"/>
  <c r="C49" i="46"/>
  <c r="E49" i="46" s="1"/>
  <c r="D46" i="46"/>
  <c r="E46" i="46" s="1"/>
  <c r="C46" i="46"/>
  <c r="D45" i="46"/>
  <c r="C45" i="46"/>
  <c r="D44" i="46"/>
  <c r="E44" i="46" s="1"/>
  <c r="C44" i="46"/>
  <c r="D43" i="46"/>
  <c r="C43" i="46"/>
  <c r="E43" i="46" s="1"/>
  <c r="D42" i="46"/>
  <c r="E42" i="46" s="1"/>
  <c r="C42" i="46"/>
  <c r="C41" i="46" s="1"/>
  <c r="D40" i="46"/>
  <c r="C40" i="46"/>
  <c r="D39" i="46"/>
  <c r="D38" i="46"/>
  <c r="C39" i="46"/>
  <c r="D37" i="46"/>
  <c r="D33" i="46" s="1"/>
  <c r="C37" i="46"/>
  <c r="D36" i="46"/>
  <c r="C36" i="46"/>
  <c r="E36" i="46" s="1"/>
  <c r="D35" i="46"/>
  <c r="C35" i="46"/>
  <c r="D34" i="46"/>
  <c r="C34" i="46"/>
  <c r="D32" i="46"/>
  <c r="C32" i="46"/>
  <c r="C31" i="46"/>
  <c r="C30" i="46" s="1"/>
  <c r="D31" i="46"/>
  <c r="D29" i="46"/>
  <c r="C29" i="46"/>
  <c r="D28" i="46"/>
  <c r="C28" i="46"/>
  <c r="E28" i="46" s="1"/>
  <c r="D27" i="46"/>
  <c r="C27" i="46"/>
  <c r="E27" i="46"/>
  <c r="D26" i="46"/>
  <c r="C26" i="46"/>
  <c r="D24" i="46"/>
  <c r="C24" i="46"/>
  <c r="E24" i="46"/>
  <c r="D23" i="46"/>
  <c r="D22" i="46" s="1"/>
  <c r="C23" i="46"/>
  <c r="E23" i="46" s="1"/>
  <c r="D21" i="46"/>
  <c r="C21" i="46"/>
  <c r="D20" i="46"/>
  <c r="C20" i="46"/>
  <c r="E20" i="46" s="1"/>
  <c r="D19" i="46"/>
  <c r="C19" i="46"/>
  <c r="D18" i="46"/>
  <c r="C18" i="46"/>
  <c r="D16" i="46"/>
  <c r="D14" i="46" s="1"/>
  <c r="C16" i="46"/>
  <c r="D15" i="46"/>
  <c r="C15" i="46"/>
  <c r="C14" i="46"/>
  <c r="D13" i="46"/>
  <c r="C13" i="46"/>
  <c r="D12" i="46"/>
  <c r="C12" i="46"/>
  <c r="D11" i="46"/>
  <c r="C11" i="46"/>
  <c r="D10" i="46"/>
  <c r="C10" i="46"/>
  <c r="D8" i="46"/>
  <c r="D6" i="46" s="1"/>
  <c r="C8" i="46"/>
  <c r="C6" i="46"/>
  <c r="E8" i="46"/>
  <c r="AB36" i="39"/>
  <c r="AB35" i="39"/>
  <c r="AB37" i="39" s="1"/>
  <c r="X36" i="39"/>
  <c r="X35" i="39"/>
  <c r="X37" i="39" s="1"/>
  <c r="V36" i="39"/>
  <c r="L21" i="40" s="1"/>
  <c r="V35" i="39"/>
  <c r="T37" i="39"/>
  <c r="R37" i="39"/>
  <c r="P37" i="39"/>
  <c r="N37" i="39"/>
  <c r="J37" i="39"/>
  <c r="H37" i="39"/>
  <c r="F37" i="39"/>
  <c r="D37" i="39"/>
  <c r="B37" i="39"/>
  <c r="Z31" i="39"/>
  <c r="X31" i="39"/>
  <c r="V31" i="39"/>
  <c r="T32" i="39"/>
  <c r="J32" i="39"/>
  <c r="Z30" i="39"/>
  <c r="Z32" i="39" s="1"/>
  <c r="X30" i="39"/>
  <c r="X32" i="39"/>
  <c r="V30" i="39"/>
  <c r="P32" i="39"/>
  <c r="L32" i="39"/>
  <c r="D32" i="39"/>
  <c r="AB28" i="39"/>
  <c r="X28" i="39"/>
  <c r="V28" i="39"/>
  <c r="X27" i="39"/>
  <c r="V27" i="39"/>
  <c r="Z26" i="39"/>
  <c r="X26" i="39"/>
  <c r="V26" i="39"/>
  <c r="P29" i="39"/>
  <c r="Z25" i="39"/>
  <c r="X25" i="39"/>
  <c r="V25" i="39"/>
  <c r="V29" i="39" s="1"/>
  <c r="L6" i="40" s="1"/>
  <c r="R29" i="39"/>
  <c r="D29" i="39"/>
  <c r="E29" i="39" s="1"/>
  <c r="AB16" i="39"/>
  <c r="AB18" i="39" s="1"/>
  <c r="Z16" i="39"/>
  <c r="X17" i="39"/>
  <c r="X18" i="39" s="1"/>
  <c r="X16" i="39"/>
  <c r="V17" i="39"/>
  <c r="V16" i="39"/>
  <c r="T18" i="39"/>
  <c r="R18" i="39"/>
  <c r="P18" i="39"/>
  <c r="N18" i="39"/>
  <c r="L18" i="39"/>
  <c r="J18" i="39"/>
  <c r="H18" i="39"/>
  <c r="F18" i="39"/>
  <c r="D18" i="39"/>
  <c r="B18" i="39"/>
  <c r="AB12" i="39"/>
  <c r="X12" i="39"/>
  <c r="V12" i="39"/>
  <c r="X11" i="39"/>
  <c r="X13" i="39"/>
  <c r="M12" i="40" s="1"/>
  <c r="V11" i="39"/>
  <c r="R13" i="39"/>
  <c r="R14" i="39"/>
  <c r="S11" i="39" s="1"/>
  <c r="P13" i="39"/>
  <c r="J13" i="39"/>
  <c r="H13" i="39"/>
  <c r="D13" i="39"/>
  <c r="B13" i="39"/>
  <c r="AB9" i="39"/>
  <c r="Z9" i="39"/>
  <c r="X9" i="39"/>
  <c r="V9" i="39"/>
  <c r="AB8" i="39"/>
  <c r="Z8" i="39"/>
  <c r="X8" i="39"/>
  <c r="V8" i="39"/>
  <c r="AB7" i="39"/>
  <c r="X7" i="39"/>
  <c r="V7" i="39"/>
  <c r="AB6" i="39"/>
  <c r="X6" i="39"/>
  <c r="V6" i="39"/>
  <c r="AB5" i="39"/>
  <c r="X5" i="39"/>
  <c r="V5" i="39"/>
  <c r="N10" i="39"/>
  <c r="E18" i="40"/>
  <c r="O16" i="40"/>
  <c r="O18" i="40"/>
  <c r="J18" i="40"/>
  <c r="H18" i="40"/>
  <c r="F18" i="40"/>
  <c r="D18" i="40"/>
  <c r="B18" i="40"/>
  <c r="O13" i="40"/>
  <c r="O12" i="40"/>
  <c r="O10" i="40"/>
  <c r="O9" i="40"/>
  <c r="K7" i="40"/>
  <c r="K14" i="40" s="1"/>
  <c r="K9" i="40"/>
  <c r="I7" i="40"/>
  <c r="F7" i="40"/>
  <c r="F9" i="40" s="1"/>
  <c r="E7" i="40"/>
  <c r="E14" i="40" s="1"/>
  <c r="D7" i="40"/>
  <c r="D14" i="40" s="1"/>
  <c r="B7" i="40"/>
  <c r="B14" i="40" s="1"/>
  <c r="F24" i="7"/>
  <c r="M17" i="7"/>
  <c r="L17" i="7"/>
  <c r="K17" i="7"/>
  <c r="J17" i="7"/>
  <c r="I17" i="7"/>
  <c r="H17" i="7"/>
  <c r="G17" i="7"/>
  <c r="F17" i="7"/>
  <c r="E17" i="7"/>
  <c r="D17" i="7"/>
  <c r="C17" i="7"/>
  <c r="B17" i="7"/>
  <c r="M16" i="7"/>
  <c r="L16" i="7"/>
  <c r="K16" i="7"/>
  <c r="J16" i="7"/>
  <c r="J19" i="7" s="1"/>
  <c r="I16" i="7"/>
  <c r="H16" i="7"/>
  <c r="G16" i="7"/>
  <c r="F16" i="7"/>
  <c r="F19" i="7" s="1"/>
  <c r="E16" i="7"/>
  <c r="D16" i="7"/>
  <c r="C16" i="7"/>
  <c r="C19" i="7" s="1"/>
  <c r="B16" i="7"/>
  <c r="B19" i="7" s="1"/>
  <c r="B19" i="4"/>
  <c r="F19" i="4"/>
  <c r="J19" i="4"/>
  <c r="C19" i="4"/>
  <c r="E19" i="4"/>
  <c r="G19" i="4"/>
  <c r="I19" i="4"/>
  <c r="K19" i="4"/>
  <c r="M19" i="4"/>
  <c r="H7" i="40"/>
  <c r="H10" i="40"/>
  <c r="C18" i="40"/>
  <c r="G18" i="40"/>
  <c r="K18" i="40"/>
  <c r="C7" i="40"/>
  <c r="C14" i="40" s="1"/>
  <c r="G7" i="40"/>
  <c r="B10" i="39"/>
  <c r="R10" i="39"/>
  <c r="F13" i="39"/>
  <c r="N13" i="39"/>
  <c r="N14" i="39" s="1"/>
  <c r="F29" i="39"/>
  <c r="N29" i="39"/>
  <c r="F32" i="39"/>
  <c r="N32" i="39"/>
  <c r="I18" i="40"/>
  <c r="C10" i="40"/>
  <c r="C9" i="40"/>
  <c r="E10" i="40"/>
  <c r="G10" i="40"/>
  <c r="K10" i="40"/>
  <c r="D9" i="40"/>
  <c r="D10" i="40"/>
  <c r="E12" i="88"/>
  <c r="E11" i="88"/>
  <c r="E10" i="88"/>
  <c r="F11" i="87"/>
  <c r="F10" i="87"/>
  <c r="L19" i="4"/>
  <c r="H19" i="4"/>
  <c r="D19" i="4"/>
  <c r="H18" i="31"/>
  <c r="H19" i="31"/>
  <c r="H20" i="31"/>
  <c r="H21" i="31"/>
  <c r="D19" i="31"/>
  <c r="D20" i="31"/>
  <c r="D21" i="31"/>
  <c r="E24" i="1"/>
  <c r="E25" i="2"/>
  <c r="H10" i="19"/>
  <c r="H10" i="18"/>
  <c r="H10" i="17"/>
  <c r="H10" i="14"/>
  <c r="H9" i="13"/>
  <c r="H11" i="8"/>
  <c r="H10" i="6"/>
  <c r="H12" i="11" s="1"/>
  <c r="H10" i="27"/>
  <c r="F9" i="6"/>
  <c r="F11" i="9"/>
  <c r="E24" i="2"/>
  <c r="E22" i="2"/>
  <c r="E23" i="2"/>
  <c r="F24" i="6"/>
  <c r="F22" i="8"/>
  <c r="F24" i="9"/>
  <c r="F27" i="10"/>
  <c r="F26" i="11"/>
  <c r="G22" i="12"/>
  <c r="F23" i="13"/>
  <c r="F24" i="14"/>
  <c r="F24" i="15"/>
  <c r="F24" i="16"/>
  <c r="F24" i="17"/>
  <c r="F24" i="18"/>
  <c r="F24" i="19"/>
  <c r="F24" i="20"/>
  <c r="F23" i="21"/>
  <c r="F29" i="27"/>
  <c r="E23" i="1"/>
  <c r="B38" i="45"/>
  <c r="C38" i="45"/>
  <c r="D38" i="45"/>
  <c r="E38" i="45"/>
  <c r="F38" i="45"/>
  <c r="G38" i="45"/>
  <c r="H38" i="45"/>
  <c r="I38" i="45"/>
  <c r="J38" i="45"/>
  <c r="C40" i="45"/>
  <c r="B8" i="44"/>
  <c r="B9" i="44"/>
  <c r="B10" i="44"/>
  <c r="B11" i="44"/>
  <c r="B12" i="44"/>
  <c r="B13" i="44"/>
  <c r="B14" i="44"/>
  <c r="B15" i="44"/>
  <c r="B16" i="44"/>
  <c r="B17" i="44"/>
  <c r="B19" i="44"/>
  <c r="B21" i="44"/>
  <c r="B22" i="44"/>
  <c r="C40" i="44"/>
  <c r="D40" i="44"/>
  <c r="E40" i="44"/>
  <c r="F40" i="44"/>
  <c r="G40" i="44"/>
  <c r="H40" i="44"/>
  <c r="D13" i="27"/>
  <c r="D17" i="43"/>
  <c r="E17" i="43"/>
  <c r="F17" i="43"/>
  <c r="G17" i="43"/>
  <c r="H17" i="43"/>
  <c r="I17" i="43"/>
  <c r="J17" i="43"/>
  <c r="K17" i="43"/>
  <c r="L17" i="43"/>
  <c r="M17" i="43"/>
  <c r="B10" i="21"/>
  <c r="B13" i="21" s="1"/>
  <c r="B11" i="21"/>
  <c r="C10" i="21"/>
  <c r="D10" i="21"/>
  <c r="D11" i="21"/>
  <c r="C11" i="21"/>
  <c r="C13" i="21"/>
  <c r="E13" i="21"/>
  <c r="F13" i="21"/>
  <c r="G13" i="21"/>
  <c r="H13" i="21"/>
  <c r="I13" i="21"/>
  <c r="J13" i="21"/>
  <c r="K13" i="21"/>
  <c r="L13" i="21"/>
  <c r="M13" i="21"/>
  <c r="B21" i="21"/>
  <c r="C21" i="21"/>
  <c r="D21" i="21"/>
  <c r="E21" i="21"/>
  <c r="F21" i="21"/>
  <c r="G21" i="21"/>
  <c r="H21" i="21"/>
  <c r="I21" i="21"/>
  <c r="J21" i="21"/>
  <c r="K21" i="21"/>
  <c r="L21" i="21"/>
  <c r="M21" i="21"/>
  <c r="B10" i="19"/>
  <c r="C10" i="19"/>
  <c r="D10" i="19"/>
  <c r="E10" i="19"/>
  <c r="F10" i="19"/>
  <c r="F13" i="19" s="1"/>
  <c r="G10" i="19"/>
  <c r="G13" i="19" s="1"/>
  <c r="I10" i="19"/>
  <c r="I13" i="19" s="1"/>
  <c r="J10" i="19"/>
  <c r="K10" i="19"/>
  <c r="K13" i="19" s="1"/>
  <c r="L10" i="19"/>
  <c r="L13" i="19" s="1"/>
  <c r="M10" i="19"/>
  <c r="M13" i="19" s="1"/>
  <c r="B11" i="19"/>
  <c r="B13" i="19" s="1"/>
  <c r="C11" i="19"/>
  <c r="C13" i="19" s="1"/>
  <c r="D11" i="19"/>
  <c r="E11" i="19"/>
  <c r="F11" i="19"/>
  <c r="G11" i="19"/>
  <c r="H11" i="19"/>
  <c r="I11" i="19"/>
  <c r="J11" i="19"/>
  <c r="K11" i="19"/>
  <c r="L11" i="19"/>
  <c r="M11" i="19"/>
  <c r="B9" i="18"/>
  <c r="C9" i="18"/>
  <c r="D9" i="18"/>
  <c r="E9" i="18"/>
  <c r="F9" i="18"/>
  <c r="F12" i="18" s="1"/>
  <c r="G9" i="18"/>
  <c r="H9" i="18"/>
  <c r="H12" i="18" s="1"/>
  <c r="I9" i="18"/>
  <c r="I12" i="18" s="1"/>
  <c r="J9" i="18"/>
  <c r="J12" i="18" s="1"/>
  <c r="K9" i="18"/>
  <c r="K12" i="18" s="1"/>
  <c r="L9" i="18"/>
  <c r="M9" i="18"/>
  <c r="M12" i="18" s="1"/>
  <c r="B10" i="18"/>
  <c r="C10" i="18"/>
  <c r="D10" i="18"/>
  <c r="E10" i="18"/>
  <c r="E12" i="18"/>
  <c r="F10" i="18"/>
  <c r="G10" i="18"/>
  <c r="I10" i="18"/>
  <c r="J10" i="18"/>
  <c r="K10" i="18"/>
  <c r="L10" i="18"/>
  <c r="M10" i="18"/>
  <c r="B9" i="17"/>
  <c r="C9" i="17"/>
  <c r="D9" i="17"/>
  <c r="E9" i="17"/>
  <c r="F9" i="17"/>
  <c r="G9" i="17"/>
  <c r="H9" i="17"/>
  <c r="H12" i="17" s="1"/>
  <c r="I9" i="17"/>
  <c r="J9" i="17"/>
  <c r="K9" i="17"/>
  <c r="L9" i="17"/>
  <c r="M9" i="17"/>
  <c r="B10" i="17"/>
  <c r="C10" i="17"/>
  <c r="D10" i="17"/>
  <c r="E10" i="17"/>
  <c r="E12" i="17" s="1"/>
  <c r="F10" i="17"/>
  <c r="F12" i="17" s="1"/>
  <c r="G10" i="17"/>
  <c r="I10" i="17"/>
  <c r="I12" i="17" s="1"/>
  <c r="J10" i="17"/>
  <c r="J12" i="17" s="1"/>
  <c r="K10" i="17"/>
  <c r="L10" i="17"/>
  <c r="L12" i="17" s="1"/>
  <c r="M10" i="17"/>
  <c r="M12" i="17" s="1"/>
  <c r="B9" i="16"/>
  <c r="B15" i="16" s="1"/>
  <c r="C9" i="16"/>
  <c r="C15" i="16"/>
  <c r="D9" i="16"/>
  <c r="D15" i="16" s="1"/>
  <c r="D13" i="16"/>
  <c r="E9" i="16"/>
  <c r="E13" i="16"/>
  <c r="E15" i="16" s="1"/>
  <c r="F9" i="16"/>
  <c r="G9" i="16"/>
  <c r="G13" i="16"/>
  <c r="H9" i="16"/>
  <c r="I9" i="16"/>
  <c r="I13" i="16"/>
  <c r="J9" i="16"/>
  <c r="J15" i="16"/>
  <c r="K9" i="16"/>
  <c r="K15" i="16" s="1"/>
  <c r="L9" i="16"/>
  <c r="M9" i="16"/>
  <c r="M15" i="16" s="1"/>
  <c r="F13" i="16"/>
  <c r="H13" i="16"/>
  <c r="B9" i="15"/>
  <c r="B15" i="15" s="1"/>
  <c r="C51" i="15" s="1"/>
  <c r="C9" i="15"/>
  <c r="C15" i="15"/>
  <c r="D51" i="15" s="1"/>
  <c r="D9" i="15"/>
  <c r="D15" i="15" s="1"/>
  <c r="E51" i="15" s="1"/>
  <c r="D13" i="15"/>
  <c r="E9" i="15"/>
  <c r="F9" i="15"/>
  <c r="F13" i="15"/>
  <c r="F15" i="15" s="1"/>
  <c r="G9" i="15"/>
  <c r="H9" i="15"/>
  <c r="H15" i="15" s="1"/>
  <c r="I9" i="15"/>
  <c r="I15" i="15" s="1"/>
  <c r="J51" i="15" s="1"/>
  <c r="K9" i="15"/>
  <c r="K15" i="15" s="1"/>
  <c r="L9" i="15"/>
  <c r="L15" i="15" s="1"/>
  <c r="M9" i="15"/>
  <c r="E13" i="15"/>
  <c r="G13" i="15"/>
  <c r="G15" i="15" s="1"/>
  <c r="H13" i="15"/>
  <c r="I13" i="15"/>
  <c r="B51" i="15"/>
  <c r="B10" i="14"/>
  <c r="C10" i="14"/>
  <c r="D10" i="14"/>
  <c r="E10" i="14"/>
  <c r="F10" i="14"/>
  <c r="G10" i="14"/>
  <c r="I10" i="14"/>
  <c r="J10" i="14"/>
  <c r="K10" i="14"/>
  <c r="L10" i="14"/>
  <c r="M10" i="14"/>
  <c r="B11" i="14"/>
  <c r="C11" i="14"/>
  <c r="D11" i="14"/>
  <c r="E11" i="14"/>
  <c r="E13" i="14" s="1"/>
  <c r="F11" i="14"/>
  <c r="F13" i="14" s="1"/>
  <c r="G11" i="14"/>
  <c r="H11" i="14"/>
  <c r="I11" i="14"/>
  <c r="I13" i="14" s="1"/>
  <c r="J11" i="14"/>
  <c r="J13" i="14" s="1"/>
  <c r="K11" i="14"/>
  <c r="K13" i="14" s="1"/>
  <c r="L11" i="14"/>
  <c r="M11" i="14"/>
  <c r="M13" i="14" s="1"/>
  <c r="B9" i="13"/>
  <c r="C9" i="13"/>
  <c r="C11" i="13" s="1"/>
  <c r="D9" i="13"/>
  <c r="D12" i="13" s="1"/>
  <c r="E9" i="13"/>
  <c r="E12" i="13" s="1"/>
  <c r="F9" i="13"/>
  <c r="F12" i="13" s="1"/>
  <c r="G9" i="13"/>
  <c r="I9" i="13"/>
  <c r="J9" i="13"/>
  <c r="J11" i="13" s="1"/>
  <c r="K9" i="13"/>
  <c r="L9" i="13"/>
  <c r="M9" i="13"/>
  <c r="B10" i="13"/>
  <c r="B11" i="13" s="1"/>
  <c r="C10" i="13"/>
  <c r="D10" i="13"/>
  <c r="E10" i="13"/>
  <c r="E11" i="13" s="1"/>
  <c r="F10" i="13"/>
  <c r="G10" i="13"/>
  <c r="G12" i="13" s="1"/>
  <c r="H10" i="13"/>
  <c r="H12" i="13" s="1"/>
  <c r="I10" i="13"/>
  <c r="I11" i="13" s="1"/>
  <c r="J10" i="13"/>
  <c r="K10" i="13"/>
  <c r="K12" i="13" s="1"/>
  <c r="L10" i="13"/>
  <c r="L11" i="13" s="1"/>
  <c r="M10" i="13"/>
  <c r="M12" i="13" s="1"/>
  <c r="B10" i="12"/>
  <c r="C10" i="12"/>
  <c r="D10" i="12"/>
  <c r="D16" i="11"/>
  <c r="D16" i="10"/>
  <c r="B15" i="9"/>
  <c r="C15" i="9"/>
  <c r="D15" i="9"/>
  <c r="E15" i="9"/>
  <c r="F15" i="9"/>
  <c r="G15" i="9"/>
  <c r="H15" i="9"/>
  <c r="I15" i="9"/>
  <c r="J15" i="9"/>
  <c r="K15" i="9"/>
  <c r="L15" i="9"/>
  <c r="B11" i="8"/>
  <c r="C11" i="8"/>
  <c r="D11" i="8"/>
  <c r="E11" i="8"/>
  <c r="F11" i="8"/>
  <c r="G11" i="8"/>
  <c r="I11" i="8"/>
  <c r="J11" i="8"/>
  <c r="K11" i="8"/>
  <c r="L11" i="8"/>
  <c r="M11" i="8"/>
  <c r="B10" i="31"/>
  <c r="D10" i="31" s="1"/>
  <c r="C10" i="31"/>
  <c r="F10" i="31"/>
  <c r="H10" i="31" s="1"/>
  <c r="G10" i="31"/>
  <c r="B11" i="31"/>
  <c r="C11" i="31"/>
  <c r="D11" i="31" s="1"/>
  <c r="F11" i="31"/>
  <c r="G11" i="31"/>
  <c r="H11" i="31" s="1"/>
  <c r="D13" i="31"/>
  <c r="H13" i="31"/>
  <c r="H14" i="31"/>
  <c r="H16" i="31"/>
  <c r="D17" i="31"/>
  <c r="H17" i="31"/>
  <c r="B9" i="6"/>
  <c r="C9" i="6"/>
  <c r="D9" i="6"/>
  <c r="D11" i="9" s="1"/>
  <c r="D13" i="9" s="1"/>
  <c r="D17" i="9" s="1"/>
  <c r="E9" i="6"/>
  <c r="G9" i="6"/>
  <c r="H9" i="6"/>
  <c r="H11" i="9"/>
  <c r="H13" i="9" s="1"/>
  <c r="I9" i="6"/>
  <c r="J9" i="6"/>
  <c r="K9" i="6"/>
  <c r="J11" i="9"/>
  <c r="L9" i="6"/>
  <c r="K11" i="9"/>
  <c r="M9" i="6"/>
  <c r="B10" i="6"/>
  <c r="C10" i="6"/>
  <c r="D10" i="6"/>
  <c r="E10" i="6"/>
  <c r="F10" i="6"/>
  <c r="G10" i="6"/>
  <c r="G10" i="27" s="1"/>
  <c r="I10" i="6"/>
  <c r="I10" i="27" s="1"/>
  <c r="J10" i="6"/>
  <c r="J10" i="27" s="1"/>
  <c r="K10" i="6"/>
  <c r="L10" i="6"/>
  <c r="M10" i="6"/>
  <c r="M13" i="6" s="1"/>
  <c r="M12" i="10" s="1"/>
  <c r="M10" i="27"/>
  <c r="B11" i="6"/>
  <c r="C11" i="6"/>
  <c r="D11" i="6"/>
  <c r="E11" i="6"/>
  <c r="E13" i="6" s="1"/>
  <c r="E12" i="10" s="1"/>
  <c r="E14" i="10" s="1"/>
  <c r="F11" i="6"/>
  <c r="G11" i="6"/>
  <c r="H11" i="6"/>
  <c r="I11" i="6"/>
  <c r="J11" i="6"/>
  <c r="K11" i="6"/>
  <c r="L11" i="6"/>
  <c r="M11" i="6"/>
  <c r="D25" i="4"/>
  <c r="D26" i="4"/>
  <c r="D27" i="4"/>
  <c r="D28" i="4"/>
  <c r="D29" i="4"/>
  <c r="D30" i="4"/>
  <c r="D31" i="4"/>
  <c r="B20" i="3"/>
  <c r="B10" i="10"/>
  <c r="C20" i="3"/>
  <c r="C10" i="10" s="1"/>
  <c r="D20" i="3"/>
  <c r="D10" i="10" s="1"/>
  <c r="E20" i="3"/>
  <c r="E10" i="10" s="1"/>
  <c r="F20" i="3"/>
  <c r="F10" i="10" s="1"/>
  <c r="G20" i="3"/>
  <c r="G10" i="10" s="1"/>
  <c r="H20" i="3"/>
  <c r="H10" i="10"/>
  <c r="I20" i="3"/>
  <c r="I10" i="10" s="1"/>
  <c r="I14" i="10" s="1"/>
  <c r="J20" i="3"/>
  <c r="J10" i="10" s="1"/>
  <c r="K20" i="3"/>
  <c r="K10" i="10" s="1"/>
  <c r="L20" i="3"/>
  <c r="L10" i="10"/>
  <c r="M20" i="3"/>
  <c r="M10" i="10" s="1"/>
  <c r="M14" i="10" s="1"/>
  <c r="E11" i="2"/>
  <c r="E12" i="2"/>
  <c r="E13" i="2"/>
  <c r="C14" i="2"/>
  <c r="E14" i="2" s="1"/>
  <c r="E15" i="2"/>
  <c r="E16" i="2"/>
  <c r="E17" i="2"/>
  <c r="E18" i="2"/>
  <c r="E19" i="2"/>
  <c r="E20" i="2"/>
  <c r="E21" i="2"/>
  <c r="E10" i="1"/>
  <c r="E11" i="1"/>
  <c r="E12" i="1"/>
  <c r="C13" i="1"/>
  <c r="E13" i="1" s="1"/>
  <c r="E14" i="1"/>
  <c r="E15" i="1"/>
  <c r="E16" i="1"/>
  <c r="E17" i="1"/>
  <c r="E18" i="1"/>
  <c r="E19" i="1"/>
  <c r="E20" i="1"/>
  <c r="E21" i="1"/>
  <c r="E22" i="1"/>
  <c r="F13" i="27"/>
  <c r="B13" i="27"/>
  <c r="C13" i="27"/>
  <c r="H12" i="31"/>
  <c r="D15" i="31"/>
  <c r="H15" i="31"/>
  <c r="D14" i="31"/>
  <c r="AB25" i="39"/>
  <c r="AB11" i="39"/>
  <c r="AB13" i="39"/>
  <c r="E13" i="27"/>
  <c r="D18" i="31"/>
  <c r="V13" i="39"/>
  <c r="L12" i="40" s="1"/>
  <c r="H13" i="19"/>
  <c r="B10" i="40"/>
  <c r="F10" i="40"/>
  <c r="I10" i="40"/>
  <c r="F10" i="39"/>
  <c r="F14" i="39" s="1"/>
  <c r="G8" i="39" s="1"/>
  <c r="B9" i="40"/>
  <c r="D13" i="14"/>
  <c r="E14" i="46"/>
  <c r="E15" i="46"/>
  <c r="E26" i="46"/>
  <c r="D16" i="31"/>
  <c r="D12" i="31"/>
  <c r="L10" i="39"/>
  <c r="B32" i="39"/>
  <c r="B33" i="39" s="1"/>
  <c r="R32" i="39"/>
  <c r="H32" i="39"/>
  <c r="E68" i="46"/>
  <c r="P10" i="39"/>
  <c r="D10" i="39"/>
  <c r="D14" i="39" s="1"/>
  <c r="L29" i="39"/>
  <c r="H10" i="39"/>
  <c r="T10" i="39"/>
  <c r="L13" i="39"/>
  <c r="J29" i="39"/>
  <c r="J33" i="39" s="1"/>
  <c r="K25" i="39" s="1"/>
  <c r="J7" i="40"/>
  <c r="J9" i="40" s="1"/>
  <c r="J10" i="39"/>
  <c r="J14" i="39" s="1"/>
  <c r="T13" i="39"/>
  <c r="T14" i="39" s="1"/>
  <c r="H29" i="39"/>
  <c r="B29" i="39"/>
  <c r="T29" i="39"/>
  <c r="T33" i="39" s="1"/>
  <c r="L37" i="39"/>
  <c r="E59" i="46"/>
  <c r="L33" i="39"/>
  <c r="M26" i="39" s="1"/>
  <c r="G11" i="39"/>
  <c r="G10" i="39"/>
  <c r="J10" i="40"/>
  <c r="J14" i="40"/>
  <c r="G19" i="7"/>
  <c r="K19" i="7"/>
  <c r="L10" i="9"/>
  <c r="L13" i="9" s="1"/>
  <c r="S8" i="39"/>
  <c r="R20" i="39"/>
  <c r="S9" i="39"/>
  <c r="S6" i="39"/>
  <c r="S5" i="39"/>
  <c r="AB17" i="39"/>
  <c r="C10" i="11"/>
  <c r="D13" i="21"/>
  <c r="D33" i="39"/>
  <c r="E33" i="39" s="1"/>
  <c r="E45" i="46"/>
  <c r="O6" i="39"/>
  <c r="O8" i="39"/>
  <c r="E35" i="46"/>
  <c r="F15" i="16"/>
  <c r="H15" i="16"/>
  <c r="L13" i="14"/>
  <c r="C13" i="14"/>
  <c r="B12" i="13"/>
  <c r="C12" i="13"/>
  <c r="J12" i="13"/>
  <c r="D19" i="7"/>
  <c r="L19" i="7"/>
  <c r="V32" i="39"/>
  <c r="L13" i="40" s="1"/>
  <c r="E14" i="7"/>
  <c r="AB26" i="39"/>
  <c r="B12" i="17"/>
  <c r="D13" i="19"/>
  <c r="V37" i="39"/>
  <c r="E13" i="19"/>
  <c r="I11" i="9"/>
  <c r="I12" i="11"/>
  <c r="I14" i="11"/>
  <c r="U27" i="39"/>
  <c r="M13" i="40"/>
  <c r="I13" i="6"/>
  <c r="I12" i="10" s="1"/>
  <c r="L11" i="9"/>
  <c r="E12" i="11"/>
  <c r="E11" i="9"/>
  <c r="J13" i="27"/>
  <c r="H10" i="11"/>
  <c r="J10" i="11"/>
  <c r="K10" i="11"/>
  <c r="L13" i="5"/>
  <c r="F10" i="11"/>
  <c r="U6" i="39"/>
  <c r="N13" i="40"/>
  <c r="F20" i="7" l="1"/>
  <c r="C10" i="8"/>
  <c r="C13" i="8" s="1"/>
  <c r="C21" i="7"/>
  <c r="D20" i="39"/>
  <c r="E8" i="39"/>
  <c r="E11" i="39"/>
  <c r="E12" i="39"/>
  <c r="E7" i="39"/>
  <c r="H14" i="11"/>
  <c r="C25" i="39"/>
  <c r="C26" i="39"/>
  <c r="K5" i="39"/>
  <c r="K8" i="39"/>
  <c r="Q29" i="39"/>
  <c r="E25" i="39"/>
  <c r="N10" i="13"/>
  <c r="N11" i="13" s="1"/>
  <c r="N11" i="14"/>
  <c r="D13" i="6"/>
  <c r="D12" i="10" s="1"/>
  <c r="G51" i="15"/>
  <c r="H33" i="39"/>
  <c r="I30" i="39" s="1"/>
  <c r="L12" i="18"/>
  <c r="M21" i="40"/>
  <c r="N10" i="5"/>
  <c r="N13" i="5" s="1"/>
  <c r="O14" i="40"/>
  <c r="E15" i="15"/>
  <c r="F51" i="15" s="1"/>
  <c r="X29" i="39"/>
  <c r="E94" i="46"/>
  <c r="D20" i="7"/>
  <c r="R14" i="10"/>
  <c r="F13" i="6"/>
  <c r="F12" i="10" s="1"/>
  <c r="T13" i="6"/>
  <c r="T12" i="10" s="1"/>
  <c r="T10" i="27"/>
  <c r="T14" i="10"/>
  <c r="H11" i="13"/>
  <c r="D41" i="46"/>
  <c r="E41" i="46" s="1"/>
  <c r="M15" i="15"/>
  <c r="G12" i="18"/>
  <c r="E6" i="46"/>
  <c r="V14" i="10"/>
  <c r="U13" i="6"/>
  <c r="U12" i="10" s="1"/>
  <c r="U14" i="10" s="1"/>
  <c r="T11" i="9"/>
  <c r="U12" i="11"/>
  <c r="N19" i="4"/>
  <c r="N10" i="7"/>
  <c r="N14" i="7" s="1"/>
  <c r="O13" i="6"/>
  <c r="O12" i="10" s="1"/>
  <c r="E78" i="46"/>
  <c r="F11" i="13"/>
  <c r="L15" i="16"/>
  <c r="Q13" i="6"/>
  <c r="Q12" i="10" s="1"/>
  <c r="Q14" i="10" s="1"/>
  <c r="Q12" i="11"/>
  <c r="P11" i="9"/>
  <c r="P13" i="6"/>
  <c r="P12" i="10" s="1"/>
  <c r="P14" i="10" s="1"/>
  <c r="P10" i="27"/>
  <c r="C9" i="46"/>
  <c r="E10" i="11"/>
  <c r="E14" i="11" s="1"/>
  <c r="Z27" i="39"/>
  <c r="N16" i="7"/>
  <c r="N11" i="5"/>
  <c r="D12" i="18"/>
  <c r="P33" i="39"/>
  <c r="D10" i="11"/>
  <c r="N9" i="17"/>
  <c r="N12" i="7"/>
  <c r="E31" i="39"/>
  <c r="C12" i="18"/>
  <c r="N10" i="19"/>
  <c r="N11" i="8"/>
  <c r="N9" i="13"/>
  <c r="S13" i="6"/>
  <c r="S12" i="10" s="1"/>
  <c r="S14" i="10" s="1"/>
  <c r="D11" i="13"/>
  <c r="N11" i="19"/>
  <c r="N9" i="16"/>
  <c r="N15" i="16" s="1"/>
  <c r="N10" i="17"/>
  <c r="E39" i="46"/>
  <c r="E9" i="40"/>
  <c r="T39" i="39"/>
  <c r="G12" i="17"/>
  <c r="H19" i="7"/>
  <c r="H20" i="7" s="1"/>
  <c r="V10" i="39"/>
  <c r="L5" i="40" s="1"/>
  <c r="L7" i="40" s="1"/>
  <c r="L14" i="40" s="1"/>
  <c r="G13" i="14"/>
  <c r="E32" i="46"/>
  <c r="N17" i="7"/>
  <c r="M15" i="9"/>
  <c r="N10" i="14"/>
  <c r="O10" i="9"/>
  <c r="O13" i="9" s="1"/>
  <c r="P10" i="11"/>
  <c r="P14" i="11" s="1"/>
  <c r="R13" i="5"/>
  <c r="R10" i="11"/>
  <c r="Q10" i="9"/>
  <c r="E26" i="39"/>
  <c r="V13" i="5"/>
  <c r="V10" i="11"/>
  <c r="U10" i="9"/>
  <c r="L14" i="39"/>
  <c r="I15" i="16"/>
  <c r="AB10" i="39"/>
  <c r="J13" i="9"/>
  <c r="K11" i="27" s="1"/>
  <c r="K13" i="27" s="1"/>
  <c r="O13" i="5"/>
  <c r="O10" i="11"/>
  <c r="N10" i="9"/>
  <c r="S10" i="11"/>
  <c r="R10" i="9"/>
  <c r="D12" i="17"/>
  <c r="J13" i="19"/>
  <c r="C33" i="46"/>
  <c r="E33" i="46" s="1"/>
  <c r="M10" i="9"/>
  <c r="S12" i="11"/>
  <c r="R11" i="9"/>
  <c r="R13" i="9" s="1"/>
  <c r="T10" i="11"/>
  <c r="T14" i="11" s="1"/>
  <c r="S10" i="9"/>
  <c r="S13" i="9" s="1"/>
  <c r="S17" i="9" s="1"/>
  <c r="O14" i="10"/>
  <c r="M12" i="11"/>
  <c r="F14" i="40"/>
  <c r="M11" i="13"/>
  <c r="G6" i="39"/>
  <c r="C12" i="17"/>
  <c r="N20" i="3"/>
  <c r="N10" i="10" s="1"/>
  <c r="N14" i="10" s="1"/>
  <c r="H51" i="15"/>
  <c r="B10" i="11"/>
  <c r="G13" i="5"/>
  <c r="K11" i="13"/>
  <c r="H14" i="39"/>
  <c r="E16" i="46"/>
  <c r="P13" i="5"/>
  <c r="T12" i="11"/>
  <c r="S11" i="9"/>
  <c r="U11" i="9"/>
  <c r="V12" i="11"/>
  <c r="V14" i="11" s="1"/>
  <c r="C22" i="46"/>
  <c r="E22" i="46" s="1"/>
  <c r="G10" i="9"/>
  <c r="C10" i="9"/>
  <c r="K32" i="39"/>
  <c r="B13" i="14"/>
  <c r="T13" i="5"/>
  <c r="D39" i="39"/>
  <c r="U13" i="5"/>
  <c r="T10" i="9"/>
  <c r="T13" i="9" s="1"/>
  <c r="T17" i="9" s="1"/>
  <c r="U10" i="11"/>
  <c r="U14" i="11" s="1"/>
  <c r="H13" i="6"/>
  <c r="H12" i="10" s="1"/>
  <c r="H14" i="10" s="1"/>
  <c r="N12" i="11"/>
  <c r="M11" i="9"/>
  <c r="P14" i="39"/>
  <c r="Q11" i="39" s="1"/>
  <c r="AB14" i="39"/>
  <c r="AB20" i="39" s="1"/>
  <c r="I12" i="13"/>
  <c r="V18" i="39"/>
  <c r="C17" i="46"/>
  <c r="O12" i="11"/>
  <c r="N11" i="9"/>
  <c r="R12" i="11"/>
  <c r="R14" i="11" s="1"/>
  <c r="Q11" i="9"/>
  <c r="Q13" i="5"/>
  <c r="P10" i="9"/>
  <c r="Q10" i="11"/>
  <c r="U26" i="39"/>
  <c r="G11" i="13"/>
  <c r="P12" i="11"/>
  <c r="O11" i="9"/>
  <c r="W12" i="18"/>
  <c r="S13" i="5"/>
  <c r="W19" i="7"/>
  <c r="W13" i="14"/>
  <c r="W14" i="7"/>
  <c r="W12" i="17"/>
  <c r="W13" i="19"/>
  <c r="N21" i="40"/>
  <c r="Z37" i="39"/>
  <c r="Z36" i="39"/>
  <c r="Z28" i="39"/>
  <c r="Z29" i="39" s="1"/>
  <c r="W13" i="5"/>
  <c r="W10" i="11"/>
  <c r="Z13" i="39"/>
  <c r="N12" i="40" s="1"/>
  <c r="Z6" i="39"/>
  <c r="Z10" i="39" s="1"/>
  <c r="Z17" i="39"/>
  <c r="Z18" i="39"/>
  <c r="L10" i="8"/>
  <c r="L13" i="8" s="1"/>
  <c r="L21" i="7"/>
  <c r="D21" i="7"/>
  <c r="D10" i="8"/>
  <c r="D13" i="8" s="1"/>
  <c r="M11" i="27"/>
  <c r="M13" i="27" s="1"/>
  <c r="L17" i="9"/>
  <c r="F21" i="7"/>
  <c r="F10" i="8"/>
  <c r="F13" i="8" s="1"/>
  <c r="C31" i="39"/>
  <c r="J21" i="7"/>
  <c r="J10" i="8"/>
  <c r="J13" i="8" s="1"/>
  <c r="U9" i="39"/>
  <c r="U12" i="39"/>
  <c r="U7" i="39"/>
  <c r="U5" i="39"/>
  <c r="U11" i="39"/>
  <c r="T20" i="39"/>
  <c r="C32" i="39"/>
  <c r="J13" i="6"/>
  <c r="J12" i="10" s="1"/>
  <c r="J14" i="10" s="1"/>
  <c r="J12" i="11"/>
  <c r="J14" i="11" s="1"/>
  <c r="G13" i="6"/>
  <c r="G12" i="10" s="1"/>
  <c r="G14" i="10" s="1"/>
  <c r="G12" i="11"/>
  <c r="G14" i="11" s="1"/>
  <c r="G11" i="9"/>
  <c r="G13" i="9" s="1"/>
  <c r="F33" i="39"/>
  <c r="G29" i="39" s="1"/>
  <c r="B14" i="39"/>
  <c r="C10" i="39" s="1"/>
  <c r="H9" i="40"/>
  <c r="H14" i="40"/>
  <c r="E19" i="7"/>
  <c r="E20" i="7" s="1"/>
  <c r="M19" i="7"/>
  <c r="J17" i="9"/>
  <c r="B21" i="7"/>
  <c r="B10" i="8"/>
  <c r="B13" i="8" s="1"/>
  <c r="V11" i="9"/>
  <c r="V13" i="9" s="1"/>
  <c r="V17" i="9" s="1"/>
  <c r="W12" i="11"/>
  <c r="W13" i="6"/>
  <c r="W12" i="10" s="1"/>
  <c r="W14" i="10" s="1"/>
  <c r="B39" i="39"/>
  <c r="U13" i="39"/>
  <c r="G21" i="7"/>
  <c r="C33" i="39"/>
  <c r="U8" i="39"/>
  <c r="M31" i="39"/>
  <c r="L39" i="39"/>
  <c r="M25" i="39"/>
  <c r="M33" i="39"/>
  <c r="M27" i="39"/>
  <c r="M32" i="39"/>
  <c r="M28" i="39"/>
  <c r="M30" i="39"/>
  <c r="H17" i="9"/>
  <c r="H11" i="27"/>
  <c r="H13" i="27" s="1"/>
  <c r="I9" i="40"/>
  <c r="I14" i="40"/>
  <c r="D30" i="46"/>
  <c r="E30" i="46" s="1"/>
  <c r="E31" i="46"/>
  <c r="W11" i="13"/>
  <c r="W12" i="13"/>
  <c r="C28" i="39"/>
  <c r="C30" i="39"/>
  <c r="C27" i="39"/>
  <c r="C29" i="39"/>
  <c r="R33" i="39"/>
  <c r="S32" i="39"/>
  <c r="I13" i="5"/>
  <c r="I10" i="9"/>
  <c r="I13" i="9" s="1"/>
  <c r="K10" i="27"/>
  <c r="K12" i="11"/>
  <c r="K14" i="11" s="1"/>
  <c r="C11" i="9"/>
  <c r="C13" i="9" s="1"/>
  <c r="C17" i="9" s="1"/>
  <c r="C13" i="6"/>
  <c r="C12" i="10" s="1"/>
  <c r="C14" i="10" s="1"/>
  <c r="C12" i="11"/>
  <c r="C14" i="11" s="1"/>
  <c r="I19" i="7"/>
  <c r="I20" i="7" s="1"/>
  <c r="K13" i="6"/>
  <c r="K12" i="10" s="1"/>
  <c r="K14" i="10" s="1"/>
  <c r="K10" i="8"/>
  <c r="K13" i="8" s="1"/>
  <c r="K21" i="7"/>
  <c r="E5" i="39"/>
  <c r="E14" i="39"/>
  <c r="E9" i="39"/>
  <c r="E10" i="39"/>
  <c r="E6" i="39"/>
  <c r="K30" i="39"/>
  <c r="K26" i="39"/>
  <c r="K33" i="39"/>
  <c r="K31" i="39"/>
  <c r="J39" i="39"/>
  <c r="K28" i="39"/>
  <c r="K27" i="39"/>
  <c r="K29" i="39"/>
  <c r="F14" i="10"/>
  <c r="O5" i="39"/>
  <c r="O9" i="39"/>
  <c r="N20" i="39"/>
  <c r="O12" i="39"/>
  <c r="O11" i="39"/>
  <c r="O13" i="39" s="1"/>
  <c r="O7" i="39"/>
  <c r="M20" i="7"/>
  <c r="K6" i="39"/>
  <c r="K10" i="39" s="1"/>
  <c r="K11" i="39"/>
  <c r="K12" i="39"/>
  <c r="G14" i="39"/>
  <c r="G12" i="39"/>
  <c r="G5" i="39"/>
  <c r="B11" i="9"/>
  <c r="B13" i="9" s="1"/>
  <c r="B17" i="9" s="1"/>
  <c r="B13" i="6"/>
  <c r="B12" i="10" s="1"/>
  <c r="B14" i="10" s="1"/>
  <c r="M13" i="5"/>
  <c r="M10" i="11"/>
  <c r="E30" i="39"/>
  <c r="B12" i="11"/>
  <c r="B14" i="11" s="1"/>
  <c r="U30" i="39"/>
  <c r="U28" i="39"/>
  <c r="G13" i="39"/>
  <c r="I31" i="39"/>
  <c r="I33" i="39"/>
  <c r="M29" i="39"/>
  <c r="B40" i="44"/>
  <c r="X10" i="39"/>
  <c r="E13" i="39"/>
  <c r="AB27" i="39"/>
  <c r="E13" i="46"/>
  <c r="D54" i="46"/>
  <c r="E54" i="46" s="1"/>
  <c r="E58" i="46"/>
  <c r="E88" i="46"/>
  <c r="D84" i="46"/>
  <c r="E84" i="46" s="1"/>
  <c r="E28" i="39"/>
  <c r="E27" i="39"/>
  <c r="B13" i="5"/>
  <c r="I11" i="39"/>
  <c r="N33" i="39"/>
  <c r="O32" i="39" s="1"/>
  <c r="K7" i="39"/>
  <c r="J20" i="39"/>
  <c r="E32" i="39"/>
  <c r="G7" i="39"/>
  <c r="D14" i="10"/>
  <c r="L10" i="27"/>
  <c r="L12" i="11"/>
  <c r="L13" i="6"/>
  <c r="L12" i="10" s="1"/>
  <c r="L14" i="10" s="1"/>
  <c r="L12" i="13"/>
  <c r="H13" i="14"/>
  <c r="AB30" i="39"/>
  <c r="C25" i="46"/>
  <c r="E37" i="46"/>
  <c r="L10" i="11"/>
  <c r="K10" i="9"/>
  <c r="K13" i="9" s="1"/>
  <c r="U31" i="39"/>
  <c r="U25" i="39"/>
  <c r="U29" i="39" s="1"/>
  <c r="G9" i="40"/>
  <c r="G14" i="40"/>
  <c r="AB31" i="39"/>
  <c r="V33" i="39"/>
  <c r="F12" i="11"/>
  <c r="F14" i="11" s="1"/>
  <c r="K9" i="39"/>
  <c r="G9" i="39"/>
  <c r="I12" i="39"/>
  <c r="M11" i="39"/>
  <c r="M8" i="39"/>
  <c r="M5" i="39"/>
  <c r="I51" i="15"/>
  <c r="K12" i="17"/>
  <c r="S12" i="39"/>
  <c r="S13" i="39" s="1"/>
  <c r="S7" i="39"/>
  <c r="S10" i="39" s="1"/>
  <c r="Q27" i="39"/>
  <c r="Q33" i="39"/>
  <c r="Q28" i="39"/>
  <c r="E11" i="46"/>
  <c r="E18" i="46"/>
  <c r="D17" i="46"/>
  <c r="D12" i="11"/>
  <c r="D14" i="11" s="1"/>
  <c r="G15" i="16"/>
  <c r="E10" i="46"/>
  <c r="D9" i="46"/>
  <c r="E12" i="46"/>
  <c r="E19" i="46"/>
  <c r="E21" i="46"/>
  <c r="D25" i="46"/>
  <c r="E29" i="46"/>
  <c r="C38" i="46"/>
  <c r="E38" i="46" s="1"/>
  <c r="E40" i="46"/>
  <c r="B12" i="18"/>
  <c r="F20" i="39"/>
  <c r="E34" i="46"/>
  <c r="E89" i="46"/>
  <c r="H10" i="8" l="1"/>
  <c r="H13" i="8" s="1"/>
  <c r="H21" i="7"/>
  <c r="Q8" i="39"/>
  <c r="Q12" i="39"/>
  <c r="Q13" i="39" s="1"/>
  <c r="N10" i="11"/>
  <c r="N13" i="14"/>
  <c r="X33" i="39"/>
  <c r="M6" i="40"/>
  <c r="Q5" i="39"/>
  <c r="M13" i="9"/>
  <c r="N20" i="7"/>
  <c r="P20" i="39"/>
  <c r="Q6" i="39"/>
  <c r="I32" i="39"/>
  <c r="E9" i="46"/>
  <c r="N14" i="11"/>
  <c r="U10" i="39"/>
  <c r="S14" i="11"/>
  <c r="N12" i="13"/>
  <c r="O14" i="11"/>
  <c r="B20" i="39"/>
  <c r="N13" i="19"/>
  <c r="E17" i="46"/>
  <c r="V14" i="39"/>
  <c r="W5" i="39" s="1"/>
  <c r="R17" i="9"/>
  <c r="V11" i="27"/>
  <c r="V13" i="27" s="1"/>
  <c r="Q7" i="39"/>
  <c r="M10" i="39"/>
  <c r="M14" i="39" s="1"/>
  <c r="I7" i="39"/>
  <c r="I8" i="39"/>
  <c r="I6" i="39"/>
  <c r="I5" i="39"/>
  <c r="M7" i="39"/>
  <c r="L20" i="39"/>
  <c r="M6" i="39"/>
  <c r="M9" i="39"/>
  <c r="M12" i="39"/>
  <c r="N12" i="17"/>
  <c r="O17" i="9"/>
  <c r="S11" i="27"/>
  <c r="S13" i="27" s="1"/>
  <c r="Q14" i="11"/>
  <c r="U13" i="9"/>
  <c r="U17" i="9" s="1"/>
  <c r="M13" i="39"/>
  <c r="C13" i="39"/>
  <c r="O10" i="39"/>
  <c r="P13" i="9"/>
  <c r="Q31" i="39"/>
  <c r="Q30" i="39"/>
  <c r="Q26" i="39"/>
  <c r="Q32" i="39"/>
  <c r="P39" i="39"/>
  <c r="Q25" i="39"/>
  <c r="I28" i="39"/>
  <c r="H39" i="39"/>
  <c r="I27" i="39"/>
  <c r="I25" i="39"/>
  <c r="I29" i="39"/>
  <c r="M14" i="11"/>
  <c r="I26" i="39"/>
  <c r="L9" i="40"/>
  <c r="L8" i="40"/>
  <c r="L10" i="40" s="1"/>
  <c r="Q9" i="39"/>
  <c r="I9" i="39"/>
  <c r="Q13" i="9"/>
  <c r="N19" i="7"/>
  <c r="H20" i="39"/>
  <c r="N13" i="9"/>
  <c r="W20" i="7"/>
  <c r="W21" i="7" s="1"/>
  <c r="W10" i="8"/>
  <c r="W13" i="8" s="1"/>
  <c r="W14" i="11"/>
  <c r="N6" i="40"/>
  <c r="Z33" i="39"/>
  <c r="I10" i="8"/>
  <c r="I13" i="8" s="1"/>
  <c r="I21" i="7"/>
  <c r="G17" i="9"/>
  <c r="G11" i="27"/>
  <c r="G13" i="27" s="1"/>
  <c r="M5" i="40"/>
  <c r="M7" i="40" s="1"/>
  <c r="X14" i="39"/>
  <c r="M10" i="8"/>
  <c r="M13" i="8" s="1"/>
  <c r="M21" i="7"/>
  <c r="O14" i="39"/>
  <c r="S14" i="39"/>
  <c r="S30" i="39"/>
  <c r="S27" i="39"/>
  <c r="R39" i="39"/>
  <c r="S33" i="39"/>
  <c r="S31" i="39"/>
  <c r="S26" i="39"/>
  <c r="S25" i="39"/>
  <c r="S28" i="39"/>
  <c r="E25" i="46"/>
  <c r="I13" i="39"/>
  <c r="U32" i="39"/>
  <c r="U33" i="39" s="1"/>
  <c r="G33" i="39"/>
  <c r="G28" i="39"/>
  <c r="G30" i="39"/>
  <c r="G26" i="39"/>
  <c r="F39" i="39"/>
  <c r="G31" i="39"/>
  <c r="G27" i="39"/>
  <c r="G25" i="39"/>
  <c r="G32" i="39"/>
  <c r="AB32" i="39"/>
  <c r="U14" i="39"/>
  <c r="L11" i="27"/>
  <c r="L13" i="27" s="1"/>
  <c r="K17" i="9"/>
  <c r="N5" i="40"/>
  <c r="N7" i="40" s="1"/>
  <c r="Z14" i="39"/>
  <c r="I11" i="27"/>
  <c r="I13" i="27" s="1"/>
  <c r="I17" i="9"/>
  <c r="W30" i="39"/>
  <c r="W25" i="39"/>
  <c r="W28" i="39"/>
  <c r="W26" i="39"/>
  <c r="W31" i="39"/>
  <c r="V39" i="39"/>
  <c r="L17" i="40"/>
  <c r="W27" i="39"/>
  <c r="L14" i="11"/>
  <c r="O28" i="39"/>
  <c r="O33" i="39"/>
  <c r="O30" i="39"/>
  <c r="N39" i="39"/>
  <c r="O31" i="39"/>
  <c r="O25" i="39"/>
  <c r="O29" i="39"/>
  <c r="O26" i="39"/>
  <c r="O27" i="39"/>
  <c r="O21" i="40"/>
  <c r="O19" i="40"/>
  <c r="AB29" i="39"/>
  <c r="K13" i="39"/>
  <c r="K14" i="39" s="1"/>
  <c r="E21" i="7"/>
  <c r="E10" i="8"/>
  <c r="E13" i="8" s="1"/>
  <c r="C6" i="39"/>
  <c r="C14" i="39"/>
  <c r="C11" i="39"/>
  <c r="C9" i="39"/>
  <c r="C7" i="39"/>
  <c r="C8" i="39"/>
  <c r="C5" i="39"/>
  <c r="C12" i="39"/>
  <c r="W11" i="27"/>
  <c r="W13" i="27" s="1"/>
  <c r="I10" i="39" l="1"/>
  <c r="I14" i="39"/>
  <c r="N21" i="7"/>
  <c r="N10" i="8"/>
  <c r="N13" i="8" s="1"/>
  <c r="M17" i="9"/>
  <c r="N11" i="27"/>
  <c r="N13" i="27" s="1"/>
  <c r="Q10" i="39"/>
  <c r="Q14" i="39" s="1"/>
  <c r="W11" i="39"/>
  <c r="Y28" i="39"/>
  <c r="M17" i="40"/>
  <c r="Y30" i="39"/>
  <c r="Y31" i="39"/>
  <c r="Y26" i="39"/>
  <c r="Y27" i="39"/>
  <c r="Y25" i="39"/>
  <c r="Y29" i="39" s="1"/>
  <c r="X39" i="39"/>
  <c r="P17" i="9"/>
  <c r="T11" i="27"/>
  <c r="T13" i="27" s="1"/>
  <c r="W8" i="39"/>
  <c r="W7" i="39"/>
  <c r="N17" i="9"/>
  <c r="R11" i="27"/>
  <c r="R13" i="27" s="1"/>
  <c r="Q11" i="27"/>
  <c r="Q13" i="27" s="1"/>
  <c r="P11" i="27"/>
  <c r="P13" i="27" s="1"/>
  <c r="O11" i="27"/>
  <c r="O13" i="27" s="1"/>
  <c r="Q17" i="9"/>
  <c r="U11" i="27"/>
  <c r="U13" i="27" s="1"/>
  <c r="W6" i="39"/>
  <c r="W10" i="39" s="1"/>
  <c r="W12" i="39"/>
  <c r="W9" i="39"/>
  <c r="L16" i="40"/>
  <c r="L18" i="40" s="1"/>
  <c r="L19" i="40" s="1"/>
  <c r="V20" i="39"/>
  <c r="AA26" i="39"/>
  <c r="AC28" i="39"/>
  <c r="N17" i="40"/>
  <c r="AC26" i="39"/>
  <c r="Z39" i="39"/>
  <c r="AA31" i="39"/>
  <c r="AA27" i="39"/>
  <c r="AA25" i="39"/>
  <c r="AA30" i="39"/>
  <c r="AC25" i="39"/>
  <c r="AC27" i="39"/>
  <c r="AC29" i="39" s="1"/>
  <c r="AB33" i="39"/>
  <c r="AB39" i="39" s="1"/>
  <c r="AC31" i="39"/>
  <c r="AC30" i="39"/>
  <c r="AC32" i="39" s="1"/>
  <c r="AA28" i="39"/>
  <c r="AA12" i="39"/>
  <c r="AA5" i="39"/>
  <c r="AC12" i="39"/>
  <c r="AC9" i="39"/>
  <c r="Z20" i="39"/>
  <c r="AC5" i="39"/>
  <c r="AA6" i="39"/>
  <c r="N16" i="40"/>
  <c r="AC8" i="39"/>
  <c r="AC7" i="39"/>
  <c r="AA9" i="39"/>
  <c r="AA11" i="39"/>
  <c r="AA13" i="39" s="1"/>
  <c r="AA7" i="39"/>
  <c r="AC11" i="39"/>
  <c r="AC6" i="39"/>
  <c r="AA8" i="39"/>
  <c r="Y7" i="39"/>
  <c r="X20" i="39"/>
  <c r="Y11" i="39"/>
  <c r="M16" i="40"/>
  <c r="Y5" i="39"/>
  <c r="Y12" i="39"/>
  <c r="Y6" i="39"/>
  <c r="Y8" i="39"/>
  <c r="Y9" i="39"/>
  <c r="W29" i="39"/>
  <c r="W32" i="39"/>
  <c r="N9" i="40"/>
  <c r="N14" i="40"/>
  <c r="N8" i="40"/>
  <c r="N10" i="40" s="1"/>
  <c r="S29" i="39"/>
  <c r="M9" i="40"/>
  <c r="M14" i="40"/>
  <c r="M8" i="40"/>
  <c r="M10" i="40" s="1"/>
  <c r="W13" i="39" l="1"/>
  <c r="W14" i="39" s="1"/>
  <c r="Y32" i="39"/>
  <c r="Y10" i="39"/>
  <c r="M18" i="40"/>
  <c r="M19" i="40" s="1"/>
  <c r="Y33" i="39"/>
  <c r="AC33" i="39"/>
  <c r="AA32" i="39"/>
  <c r="N18" i="40"/>
  <c r="N19" i="40" s="1"/>
  <c r="AA29" i="39"/>
  <c r="AC13" i="39"/>
  <c r="AC10" i="39"/>
  <c r="AC14" i="39" s="1"/>
  <c r="AA10" i="39"/>
  <c r="AA14" i="39" s="1"/>
  <c r="W33" i="39"/>
  <c r="Y13" i="39"/>
  <c r="Y14" i="39" s="1"/>
  <c r="AA33" i="39" l="1"/>
</calcChain>
</file>

<file path=xl/sharedStrings.xml><?xml version="1.0" encoding="utf-8"?>
<sst xmlns="http://schemas.openxmlformats.org/spreadsheetml/2006/main" count="525" uniqueCount="257">
  <si>
    <t>INGRESOS</t>
  </si>
  <si>
    <t>CRED. DEFINITIVO</t>
  </si>
  <si>
    <t>DERECHOS REC.</t>
  </si>
  <si>
    <t>% EJECUCION</t>
  </si>
  <si>
    <t>TOTAL</t>
  </si>
  <si>
    <t>DIFERENCIA</t>
  </si>
  <si>
    <t>EN MILLONES DE EUROS</t>
  </si>
  <si>
    <t>2002</t>
  </si>
  <si>
    <t>OBLIG. RECON.</t>
  </si>
  <si>
    <t>2003</t>
  </si>
  <si>
    <t>RIESGO EFECTIVO DE LA CAIB POR EL ENDEUDAMIENTO DE ENTIDADES</t>
  </si>
  <si>
    <t>Deuda EEPP avalado CAIB</t>
  </si>
  <si>
    <t>Deuda EEPP no avalado</t>
  </si>
  <si>
    <t>Deuda Consorcios (1)</t>
  </si>
  <si>
    <t>Deuda UIB</t>
  </si>
  <si>
    <t>TOTAL RIESGO (*)</t>
  </si>
  <si>
    <t xml:space="preserve">(*) Riesgo efectivo asumido por la deuda viva de entidades dependientes de la CAIB </t>
  </si>
  <si>
    <t>Suma conceptos</t>
  </si>
  <si>
    <t>CAIB</t>
  </si>
  <si>
    <t>IBSA</t>
  </si>
  <si>
    <t>Deuda avalada por EEPP</t>
  </si>
  <si>
    <t>DATOS DE LA LIQUIDACIÓN DEL PRESUPUESTO DE INGRESOS TRIBUTOS CEDIDOS</t>
  </si>
  <si>
    <t>LIQUIDACION INGRESOS</t>
  </si>
  <si>
    <t>%</t>
  </si>
  <si>
    <t>Impuestos directos</t>
  </si>
  <si>
    <t>Impuestos indirectos</t>
  </si>
  <si>
    <t>Tasas y otros ingresos</t>
  </si>
  <si>
    <t>Transferencias corrientes</t>
  </si>
  <si>
    <t>Ingresos patrimoniales</t>
  </si>
  <si>
    <t>Ingresos Corrientes</t>
  </si>
  <si>
    <t>Enajenación de inversiones reales</t>
  </si>
  <si>
    <t>Transferencias de Capital</t>
  </si>
  <si>
    <t>Ingresos de Capital</t>
  </si>
  <si>
    <t>Ingresos no Financieros</t>
  </si>
  <si>
    <t>Activos financieros</t>
  </si>
  <si>
    <t>Pasivos financieros</t>
  </si>
  <si>
    <t>Ingresos Operac.financieras</t>
  </si>
  <si>
    <t>Ingresos Totales</t>
  </si>
  <si>
    <t>LIQUIDACION GASTOS</t>
  </si>
  <si>
    <t>Gastos de Personal</t>
  </si>
  <si>
    <t>Compra de Bienes y Servicios</t>
  </si>
  <si>
    <t>Gastos financieros</t>
  </si>
  <si>
    <t>Gastos Corrientes</t>
  </si>
  <si>
    <t>Inversiones reales</t>
  </si>
  <si>
    <t>Transferencias de capital</t>
  </si>
  <si>
    <t>Gastos de Capital</t>
  </si>
  <si>
    <t>Gastos no Financieros</t>
  </si>
  <si>
    <t>Gastos Operac.financieras</t>
  </si>
  <si>
    <t>Gastos Totales</t>
  </si>
  <si>
    <t>Ahorro Bruto</t>
  </si>
  <si>
    <t>Ahorro Neto</t>
  </si>
  <si>
    <t>Ahorro Bruto/Ingresos Corrientes(%)</t>
  </si>
  <si>
    <t>Ahorro neto /Ingresos Corrientes (%)</t>
  </si>
  <si>
    <t>Autofinanciación de los gastos de capital</t>
  </si>
  <si>
    <t>Gastos no financieros</t>
  </si>
  <si>
    <t>Saldo no Financiero</t>
  </si>
  <si>
    <t>Saldo Primario</t>
  </si>
  <si>
    <t>Anualidad Financiera (Amort. + Ints.)</t>
  </si>
  <si>
    <t>PRESUPUESTOS LIQUIDADOS</t>
  </si>
  <si>
    <t>Millones de Euros</t>
  </si>
  <si>
    <t>Ahorro y Saldo no financiero de la CAIB (Presupuesto Liquidado)</t>
  </si>
  <si>
    <t>(1) Este cuadro refleja el riesgo asumido por la CAIB de acuerdo con su participación en los consorcios (incluye consorcios de aguas, entidades SEC, consorcios Mirall, consorcios Pla D, otros organismos no SEC)</t>
  </si>
  <si>
    <t>DATOS CUADRO EVOLUCIÓN RESULTADOS ENTIDADES CAIB</t>
  </si>
  <si>
    <t>Institut Balear de l'Habitatge</t>
  </si>
  <si>
    <t>Entitat del Turisme de les Illes Balears Institut Balear del Turisme (hasta 2004)</t>
  </si>
  <si>
    <t>Institut Balear de Sanejament</t>
  </si>
  <si>
    <t>Institut Balear de la Natura</t>
  </si>
  <si>
    <t>Institut de Biologia Animal de Balears</t>
  </si>
  <si>
    <t>Institut d'Innovació Empresarial de les IB</t>
  </si>
  <si>
    <t>Servei de Millora Agrària, SA</t>
  </si>
  <si>
    <t>Serveis Ferroviaris de Mallorca</t>
  </si>
  <si>
    <t>Fires i Congressos de Balears, SA</t>
  </si>
  <si>
    <t>GESMA</t>
  </si>
  <si>
    <t>ParcBit Desenvolupament, SA</t>
  </si>
  <si>
    <t>Institut Balear de L'Aigua i (la Energia) del Litoral (2005)</t>
  </si>
  <si>
    <t>Balears Innovació Telemàtica, SA</t>
  </si>
  <si>
    <t>Servei d'Informació Territorial</t>
  </si>
  <si>
    <t>Diversitat 21</t>
  </si>
  <si>
    <t>---</t>
  </si>
  <si>
    <t>CAIB Patrimoni, SA</t>
  </si>
  <si>
    <t>Institut d'Estratègia Turística</t>
  </si>
  <si>
    <t>Televisió de les Illes Balears, SA</t>
  </si>
  <si>
    <t>Ràdio de les Illes Balears, SA</t>
  </si>
  <si>
    <t>Ens Públic de Radiotelevisió de les IB</t>
  </si>
  <si>
    <t>Institut d'Infrastructures i Serveis Educatius</t>
  </si>
  <si>
    <t>Infrastructures i Obres Portuàries, SA</t>
  </si>
  <si>
    <t>Gestió d'Emergències de les Illes Balears</t>
  </si>
  <si>
    <t>Fons de Garantia Agrària i Pesquera I.B.</t>
  </si>
  <si>
    <t>Ports de les Illes Balears S.A.</t>
  </si>
  <si>
    <t>Agencia de cooperación Internacional</t>
  </si>
  <si>
    <t>Fundación Hospital Comarcal de Inca</t>
  </si>
  <si>
    <t>Espais de Natura Balear</t>
  </si>
  <si>
    <t>Consorci de Transports de Mallorca</t>
  </si>
  <si>
    <t>Agencia Balear del Agua</t>
  </si>
  <si>
    <t>Multimedia de les Illes Balears S.A.</t>
  </si>
  <si>
    <t>Consorci Centre Balears Europa</t>
  </si>
  <si>
    <t>DATOS EVOLUCIÓN FONDOS PROPIOS ENTIDADES CUENTA GRAL CAIB</t>
  </si>
  <si>
    <t>Entitat del Turisme de les Illes Balears</t>
  </si>
  <si>
    <t>Institut Balear de L'Aigua i la Energia</t>
  </si>
  <si>
    <t>Institut Balear de Desenvolupament Industrial</t>
  </si>
  <si>
    <t>Serveis d'Aqüicultura Marina, SA</t>
  </si>
  <si>
    <t>CAIB Patrimoni</t>
  </si>
  <si>
    <t>Televisió de les Illes Balears SA</t>
  </si>
  <si>
    <t>Ràdio de les Illes Balears SA</t>
  </si>
  <si>
    <t>Ens Públic de Radiotelevisió de les IB.</t>
  </si>
  <si>
    <t>Gestió d'Emergències de les I.B.</t>
  </si>
  <si>
    <t>Fons de Garantia Agrària i Pesquera</t>
  </si>
  <si>
    <t>Agencia de cooperación internacional</t>
  </si>
  <si>
    <t>q</t>
  </si>
  <si>
    <t>Sin el Serveis d'Aqüicultura Marina SA</t>
  </si>
  <si>
    <t>Gestionados por el Estado</t>
  </si>
  <si>
    <t>100 Impuesto sobre la renta</t>
  </si>
  <si>
    <t>111 Impuesto sobre el patrimonio</t>
  </si>
  <si>
    <t>Gestionados por la CAIB</t>
  </si>
  <si>
    <t>110 Impuesto sobre sucesiones y donaciones</t>
  </si>
  <si>
    <t>200 Impuesto sobre transmisiones</t>
  </si>
  <si>
    <t>201 Impuesto sobre actos jurídicos</t>
  </si>
  <si>
    <t>300 Tasas del juego</t>
  </si>
  <si>
    <t>21 IVA</t>
  </si>
  <si>
    <t>22 Impuestos especiales</t>
  </si>
  <si>
    <t xml:space="preserve">NOTAS: </t>
  </si>
  <si>
    <t>1. En 2004 figura el contraído de la "deuda histórica" por importe de 582,65 millones de euros</t>
  </si>
  <si>
    <t>(1)</t>
  </si>
  <si>
    <t>(2)</t>
  </si>
  <si>
    <t>(2)(3)</t>
  </si>
  <si>
    <t>(4)</t>
  </si>
  <si>
    <t>(3)</t>
  </si>
  <si>
    <t>CRED. DEFINITIU</t>
  </si>
  <si>
    <t>INGRESSOS</t>
  </si>
  <si>
    <t>DRETS RECON.</t>
  </si>
  <si>
    <t>% EXECUCIÓ</t>
  </si>
  <si>
    <t>DESPESES</t>
  </si>
  <si>
    <t>DRETS RECONEGUTS PER CAPÍTOLS    CAIB</t>
  </si>
  <si>
    <t>OBLIGACIONS RECONEGUDES PER CAPÍTOLS   CAIB</t>
  </si>
  <si>
    <t>GESTIONATS PER LA CAIB  (2)</t>
  </si>
  <si>
    <t>GESTIONATS PER L' ESTAT (1)</t>
  </si>
  <si>
    <t>D. CORRENT</t>
  </si>
  <si>
    <t>D. CAPITAL</t>
  </si>
  <si>
    <t>D. FINANCERA</t>
  </si>
  <si>
    <t>I.CAPITAL</t>
  </si>
  <si>
    <t>I.FINANCERS</t>
  </si>
  <si>
    <t>I.CORRENTS</t>
  </si>
  <si>
    <t>CAPÍTOL</t>
  </si>
  <si>
    <t>Ds. obligatories</t>
  </si>
  <si>
    <t>Desp. Obl.+ Càrrega Fin.</t>
  </si>
  <si>
    <t>% s/ obligacions totals</t>
  </si>
  <si>
    <t xml:space="preserve">OBLIGACIONS RECONEGUDES: DESPESES OBLIGATÒRIES    CAIB </t>
  </si>
  <si>
    <t>Altres Obligacions</t>
  </si>
  <si>
    <t>INGRESSOS CORRENTS</t>
  </si>
  <si>
    <t>DESPESES CORRENTS</t>
  </si>
  <si>
    <t>ESTALVI BRUT</t>
  </si>
  <si>
    <t>- AMORTITZACIONS CAPITAL</t>
  </si>
  <si>
    <t>ESTALVI NET</t>
  </si>
  <si>
    <t>DRETS RECONEGUTS</t>
  </si>
  <si>
    <t>OBLIGA. RECONEGUDES</t>
  </si>
  <si>
    <t>DRETS R. NO FINANCERS</t>
  </si>
  <si>
    <t>OBLIGA. R. NO FINANCERES</t>
  </si>
  <si>
    <t>OBLIGACIONS CAPÍTOL 6</t>
  </si>
  <si>
    <t>INGRESSOS CAPÍTOL 9</t>
  </si>
  <si>
    <t>% FINANCIACIÓ</t>
  </si>
  <si>
    <t>COMPARATIVA  INVERSIONS  /  ENDEUTAMENT   CAIB</t>
  </si>
  <si>
    <t>CAP. 9 DESPESES</t>
  </si>
  <si>
    <t>CAP. 9 INGRESSOS</t>
  </si>
  <si>
    <t>OBLIGACIONS CAPÍTOL 4</t>
  </si>
  <si>
    <r>
      <t xml:space="preserve">A EMPRESES I ALTRES ENS CAIB </t>
    </r>
    <r>
      <rPr>
        <b/>
        <sz val="12"/>
        <rFont val="Times New Roman"/>
        <family val="1"/>
      </rPr>
      <t>(art. 44)</t>
    </r>
  </si>
  <si>
    <r>
      <t xml:space="preserve">A CONSELLS INSULARS </t>
    </r>
    <r>
      <rPr>
        <b/>
        <sz val="12"/>
        <rFont val="Times New Roman"/>
        <family val="1"/>
      </rPr>
      <t>(concepte 461)</t>
    </r>
  </si>
  <si>
    <r>
      <t xml:space="preserve">AL SISTEMA SANITARI </t>
    </r>
    <r>
      <rPr>
        <b/>
        <sz val="12"/>
        <rFont val="Times New Roman"/>
        <family val="1"/>
      </rPr>
      <t>(art. 42)</t>
    </r>
  </si>
  <si>
    <t>ALTRES OBLIGACIONS</t>
  </si>
  <si>
    <t>OBLIGACIONS CAPÍTOL 7</t>
  </si>
  <si>
    <r>
      <t xml:space="preserve">A EMPRESES I ALTRES ENS CAIB </t>
    </r>
    <r>
      <rPr>
        <b/>
        <sz val="12"/>
        <rFont val="Times New Roman"/>
        <family val="1"/>
      </rPr>
      <t>(art. 74)</t>
    </r>
  </si>
  <si>
    <r>
      <t xml:space="preserve">AL SISTEMA SANITARI </t>
    </r>
    <r>
      <rPr>
        <b/>
        <sz val="12"/>
        <rFont val="Times New Roman"/>
        <family val="1"/>
      </rPr>
      <t>(art. 72)</t>
    </r>
  </si>
  <si>
    <r>
      <t xml:space="preserve">A CONSELLS INSULARS </t>
    </r>
    <r>
      <rPr>
        <b/>
        <sz val="12"/>
        <rFont val="Times New Roman"/>
        <family val="1"/>
      </rPr>
      <t>(concepte 761)</t>
    </r>
  </si>
  <si>
    <t>TOTAL OBLIGACIONS</t>
  </si>
  <si>
    <t>OBLIG. EEPP I ENS CAIB                       Transf. Corrents (art.44)</t>
  </si>
  <si>
    <t>OBLIG. EEPP I ENS CAIB                           Transf. de Capital (art.74)</t>
  </si>
  <si>
    <t>COMPROMISOS A CÀRREC D'EXERCICIS FUTURS DERIVATS DE L'ENDEUTAMENT</t>
  </si>
  <si>
    <t>DEUTE VIU</t>
  </si>
  <si>
    <t>TOTAL CÀRREGA FINANCERA</t>
  </si>
  <si>
    <t>INTERESSOS (fins a venciment)</t>
  </si>
  <si>
    <t>Despeses de capital</t>
  </si>
  <si>
    <t>CAPÍTOL 1</t>
  </si>
  <si>
    <t>CAPÍTOL 2</t>
  </si>
  <si>
    <t>CAPÍTOL 3</t>
  </si>
  <si>
    <t>CAPÍTOL 4</t>
  </si>
  <si>
    <t>CAPÍTOL 6</t>
  </si>
  <si>
    <t>CAPÍTOL 7</t>
  </si>
  <si>
    <t>CAPÍTOL 9</t>
  </si>
  <si>
    <t>CAPÍTOL 8</t>
  </si>
  <si>
    <t>CAPÍTOL 5</t>
  </si>
  <si>
    <t>ANY</t>
  </si>
  <si>
    <t>LIQUIDACIÓ</t>
  </si>
  <si>
    <t>Finançament per exercicis</t>
  </si>
  <si>
    <t>LIQUID. NEGATIVES</t>
  </si>
  <si>
    <t xml:space="preserve">NOTES: </t>
  </si>
  <si>
    <t>1. En l'exercici 2012 s'han comptabilitzat 841.415.214,72 € derivats de l'autorizació de la Llei 10/2012, de concesió d'un crédit extraordinari per a despeses inajornables.</t>
  </si>
  <si>
    <t>2. A partir de 2013 canvia el criteri en la comptabilització dels fons negatius del sistema de finançament que pasan a comptabilitzar-se com a menor ingrés.</t>
  </si>
  <si>
    <r>
      <t>(2) Gestionats per la CAIB</t>
    </r>
    <r>
      <rPr>
        <sz val="11"/>
        <rFont val="Times New Roman"/>
        <family val="1"/>
      </rPr>
      <t>: Imposts sucessiones i donacions, transmissions, actes jurídics i taxes del joc</t>
    </r>
  </si>
  <si>
    <t xml:space="preserve"> En l'exercici 2012 s'han comptabilitzat 841.415.214,72 € derivats de l'autorizació de la Llei 10/2012, de concesió d'un crédit extraordinari per a despeses inajornables.</t>
  </si>
  <si>
    <t>FINANÇAMENT AUTONÒMIC</t>
  </si>
  <si>
    <t>MILIONS €</t>
  </si>
  <si>
    <t>NOTA GENERAL: El Fons de Suficiència i els fons negatius del Sistema de Finançament figuren comptabilitzats com a despesa, en el capitol 4, fins a l'any 2012. A partir de l'any 2013 figuren comptabilitzats en el pressupost d'ingressos com a devolució d'ingressos del sistema de finançament.</t>
  </si>
  <si>
    <t>Càrrega Financera</t>
  </si>
  <si>
    <t>1.  En l'exercici 2012 s'han comptabilitzat 841.415.214,72 € derivats de l'autorizació de la Llei 10/2012, de concesió d'un crédit extraordinari per a despeses inajornables.</t>
  </si>
  <si>
    <t xml:space="preserve">OBLIGACIONS RECONEGUDES: DESPESES DE LLIURE DISPOSICIÓ    CAIB </t>
  </si>
  <si>
    <t>NOTA.</t>
  </si>
  <si>
    <t>2. En l'exercici 2012 s'han comptabilitzat 841.415.214,72 € derivats de l'autorizació de la Llei 10/2012, de concesió d'un crédit extraordinari per a despeses inajornables.</t>
  </si>
  <si>
    <t>Estalvi brut + ingressos de capital</t>
  </si>
  <si>
    <r>
      <t xml:space="preserve">(Ingressos any </t>
    </r>
    <r>
      <rPr>
        <i/>
        <sz val="12"/>
        <color theme="1"/>
        <rFont val="LegacySanITCBoo"/>
        <family val="2"/>
      </rPr>
      <t>n</t>
    </r>
    <r>
      <rPr>
        <sz val="12"/>
        <color theme="1"/>
        <rFont val="LegacySanITCBoo"/>
        <family val="2"/>
      </rPr>
      <t>)</t>
    </r>
  </si>
  <si>
    <r>
      <t xml:space="preserve">(Ingressos any </t>
    </r>
    <r>
      <rPr>
        <i/>
        <sz val="12"/>
        <color theme="1"/>
        <rFont val="LegacySanITCBoo"/>
        <family val="2"/>
      </rPr>
      <t xml:space="preserve">n </t>
    </r>
    <r>
      <rPr>
        <sz val="12"/>
        <color theme="1"/>
        <rFont val="LegacySanITCBoo"/>
        <family val="2"/>
      </rPr>
      <t>+ 2)</t>
    </r>
  </si>
  <si>
    <t xml:space="preserve">LLIURAMENTS A COMPTE </t>
  </si>
  <si>
    <t>LLIURAMENTS A COMPTE</t>
  </si>
  <si>
    <t>Liquidació negativa per descompte d'ingressos a compte 2007.</t>
  </si>
  <si>
    <t>Les liquidacions de 2008 i de 2009 són zero perquè es compensen part de les liquidacions de l'IVA que resulten negatives.</t>
  </si>
  <si>
    <t>Liquidació de l'IVA de 2008: -254.076.860 €. Es compensen 92.025.640 € l'any 2008 i la resta, 162.051.220 €, els anys següents.</t>
  </si>
  <si>
    <t>Liquidació de l'IVA de 2009: -360.201.840,21 €. Es compensen 181.824.034,51 € l'any 2009 i la resta, 178.377.805,70 €, els anys següents.</t>
  </si>
  <si>
    <t xml:space="preserve">Liquidació negativa per compensació de la liquidació negativa de l'IVA de 2008. </t>
  </si>
  <si>
    <t>Liquidacions negatives per compensació de les liquidacions negatives de l'IVA de 2008 i 2009.</t>
  </si>
  <si>
    <r>
      <t xml:space="preserve">LIQUIDACIÓ </t>
    </r>
    <r>
      <rPr>
        <b/>
        <i/>
        <sz val="12"/>
        <color theme="1"/>
        <rFont val="LegacySanITCBoo"/>
        <family val="2"/>
      </rPr>
      <t xml:space="preserve">(any n-2)  </t>
    </r>
  </si>
  <si>
    <r>
      <t>(1) Gestionats per l'Estat</t>
    </r>
    <r>
      <rPr>
        <sz val="11"/>
        <rFont val="Times New Roman"/>
        <family val="1"/>
      </rPr>
      <t>: IRPF, Patrimoni, IVA, Imposts especials i, a partir de 2016, impost sobre deposits bancaris</t>
    </r>
  </si>
  <si>
    <t>El capítol 9 inclou els ingressos derivats de l'endeutament concertat pel finançament de pagaments a proveïdors a partir de l'any 2012.</t>
  </si>
  <si>
    <t>El capítol 9 inclou els ingressos derivats de l'endeutament concertat pel finançament de pagaments a proveïdors a partir de l'any 2012</t>
  </si>
  <si>
    <t xml:space="preserve"> En l'exercici 2018 s'han comptabilitzat 178.000.000,00 € derivats de l'aprovació del crèdit extraordinari del Decret llei 3/2018 i del suplement de crèdit del Decret llei 4/2018, </t>
  </si>
  <si>
    <t xml:space="preserve">  per a despeses inajornables.</t>
  </si>
  <si>
    <t xml:space="preserve">1. Romanent de Tresoreria no ajustat. </t>
  </si>
  <si>
    <r>
      <t xml:space="preserve">A AJUNTAMENTS </t>
    </r>
    <r>
      <rPr>
        <b/>
        <sz val="12"/>
        <rFont val="Times New Roman"/>
        <family val="1"/>
      </rPr>
      <t>(concepte 460, 464 y 469)</t>
    </r>
  </si>
  <si>
    <r>
      <t xml:space="preserve">A AJUNTAMENTS </t>
    </r>
    <r>
      <rPr>
        <b/>
        <sz val="12"/>
        <rFont val="Times New Roman"/>
        <family val="1"/>
      </rPr>
      <t>(concepte 760, 764 y 769)</t>
    </r>
  </si>
  <si>
    <t xml:space="preserve">3. En l'exercici 2018 s'han comptabilitzat 178.000.000,00 € derivats de l'aprovació del crèdit extraordinari del Decret llei 3/2018 i del suplement de crèdit del Decret llei 4/2018, </t>
  </si>
  <si>
    <t>ANUL.LACIONS Ex.Tancats</t>
  </si>
  <si>
    <t xml:space="preserve"> En l'exercici 2018 s'han comptabilitzat 178.000.000,00 € derivats de l'aprovació del crèdit extraordinari del Decret llei 3/2018 i del suplement de crèdit del Decret llei 4/2018,</t>
  </si>
  <si>
    <t xml:space="preserve"> per a despeses inajornables.</t>
  </si>
  <si>
    <t>LIQUIDACIÓ PRESSUPOSTS D'INGRESSOS CAIB</t>
  </si>
  <si>
    <t>LIQUIDACIÓ PRESSUPOSTS DE DESPESES CAIB</t>
  </si>
  <si>
    <t>DRETS RECONEGUTS PER INGRESSOS CORRENT I CAPITAL CAIB</t>
  </si>
  <si>
    <t>OBLIGACIONS RECONEGUDES PER DESPESA CORRENT I CAPITAL CAIB</t>
  </si>
  <si>
    <t>DRETS RECONEGUTS PER TRIBUTS CEDITS  CAIB</t>
  </si>
  <si>
    <t>RESULTAT DE L'EXERCICI  CAIB</t>
  </si>
  <si>
    <t>RESULTAT NO FINANCER CAIB</t>
  </si>
  <si>
    <t>ESTALVI BRUT / ESTALVI NET CAIB</t>
  </si>
  <si>
    <t>ROMANENT DE TRESORERIA CAIB</t>
  </si>
  <si>
    <t xml:space="preserve">3. En l'exercici 2018 s'han comptabilitzat 178.000.000,00 € derivats de l'aprovació del crèdit extraordinari del Decret llei 3/2018 i del suplement de crèdit del Decret llei </t>
  </si>
  <si>
    <t xml:space="preserve"> 4/2018,  per a despeses inajornables.</t>
  </si>
  <si>
    <t>EVOLUCIÓ DEL CAPÍTOL 9  CAIB</t>
  </si>
  <si>
    <t>DISTRIBUCIÓ OBLIGACIONS DEL CAPÍTULO 4  CAIB</t>
  </si>
  <si>
    <t>DISTRIBUCIÓ OBLIGACIONS DEL CAPÍTOL 7 CAIB</t>
  </si>
  <si>
    <t>COMPARATIVA OBLIGACIONS CAPÍTOL 4  / CAPÍTOL 7  CAIB</t>
  </si>
  <si>
    <t xml:space="preserve"> TRANSFERENCIES  A ENS DEPENDENTS  CAIB</t>
  </si>
  <si>
    <t>EVOLUCIÓ DESPESES D'INVERSIÓ CAIB</t>
  </si>
  <si>
    <t>COMPROMISOS A CÀRREC D'EXERCICIS FUTURS  CAIB</t>
  </si>
  <si>
    <t xml:space="preserve">COBERTURA DE LES INVERSIONS CAIB  </t>
  </si>
  <si>
    <t>SALDO NO FINANCER</t>
  </si>
  <si>
    <t>FINANÇAMENT AUTONÒMIC 2011-2019</t>
  </si>
  <si>
    <t>MILERS €</t>
  </si>
  <si>
    <r>
      <t xml:space="preserve">Comptabilitzat per exercici: lliuraments a compte any </t>
    </r>
    <r>
      <rPr>
        <b/>
        <i/>
        <sz val="12"/>
        <color theme="3" tint="-0.249977111117893"/>
        <rFont val="LegacySanITCBoo"/>
        <family val="2"/>
      </rPr>
      <t>n</t>
    </r>
    <r>
      <rPr>
        <b/>
        <sz val="12"/>
        <color theme="3" tint="-0.249977111117893"/>
        <rFont val="LegacySanITCBoo"/>
        <family val="2"/>
      </rPr>
      <t xml:space="preserve"> + liquidació any </t>
    </r>
    <r>
      <rPr>
        <sz val="12"/>
        <color theme="3" tint="-0.249977111117893"/>
        <rFont val="LegacySanITCBoo"/>
        <family val="2"/>
      </rPr>
      <t>n</t>
    </r>
    <r>
      <rPr>
        <b/>
        <sz val="12"/>
        <color theme="3" tint="-0.249977111117893"/>
        <rFont val="LegacySanITCBoo"/>
        <family val="2"/>
      </rPr>
      <t>-2</t>
    </r>
  </si>
  <si>
    <t xml:space="preserve"> En l'exercici 2018 s'han comptabilitzat 178.000.000,00 € derivats de l'aprovació del crèdit extraordinari del Decret llei 3/2018 </t>
  </si>
  <si>
    <t xml:space="preserve"> i del suplement de crèdit del Decret llei 4/2018,  per a despeses inajornables.</t>
  </si>
  <si>
    <t xml:space="preserve"> i del suplement de crèdit del Decret llei 4/2018,   per a despeses inajornables.</t>
  </si>
  <si>
    <t xml:space="preserve"> En l'exercici 2018 s'han comptabilitzat 178.000.000,00 € derivats de l'aprovació del crèdit extraordinari del Decret llei 3/2018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</si>
</sst>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_-* #,##0\ _P_t_s_-;\-* #,##0\ _P_t_s_-;_-* &quot;-&quot;\ _P_t_s_-;_-@_-"/>
    <numFmt numFmtId="166" formatCode="_-* #,##0.00\ _P_t_s_-;\-* #,##0.00\ _P_t_s_-;_-* &quot;-&quot;??\ _P_t_s_-;_-@_-"/>
    <numFmt numFmtId="167" formatCode="#,##0_ ;\-#,##0\ "/>
    <numFmt numFmtId="168" formatCode="#,##0.00_ ;\-#,##0.00\ "/>
    <numFmt numFmtId="169" formatCode="#,##0.0"/>
  </numFmts>
  <fonts count="7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u/>
      <sz val="14"/>
      <color indexed="10"/>
      <name val="Arial"/>
      <family val="2"/>
    </font>
    <font>
      <sz val="14"/>
      <name val="Arial"/>
      <family val="2"/>
    </font>
    <font>
      <sz val="12"/>
      <name val="Arial"/>
      <family val="2"/>
    </font>
    <font>
      <sz val="10"/>
      <name val="Arial"/>
      <family val="2"/>
    </font>
    <font>
      <b/>
      <sz val="14"/>
      <color indexed="32"/>
      <name val="Arial"/>
      <family val="2"/>
    </font>
    <font>
      <b/>
      <sz val="12"/>
      <color indexed="32"/>
      <name val="Arial"/>
      <family val="2"/>
    </font>
    <font>
      <b/>
      <sz val="8"/>
      <name val="Arial"/>
      <family val="2"/>
    </font>
    <font>
      <b/>
      <sz val="14"/>
      <name val="Arial"/>
      <family val="2"/>
    </font>
    <font>
      <b/>
      <sz val="12"/>
      <name val="Arial"/>
      <family val="2"/>
    </font>
    <font>
      <b/>
      <u val="double"/>
      <sz val="14"/>
      <name val="Arial"/>
      <family val="2"/>
    </font>
    <font>
      <sz val="8"/>
      <name val="Arial"/>
      <family val="2"/>
    </font>
    <font>
      <b/>
      <sz val="14"/>
      <color indexed="32"/>
      <name val="Times New Roman"/>
      <family val="1"/>
    </font>
    <font>
      <sz val="12"/>
      <name val="Times New Roman"/>
      <family val="1"/>
    </font>
    <font>
      <b/>
      <sz val="16"/>
      <name val="Arial"/>
      <family val="2"/>
    </font>
    <font>
      <sz val="7"/>
      <name val="Arial"/>
      <family val="2"/>
    </font>
    <font>
      <b/>
      <sz val="12"/>
      <color indexed="8"/>
      <name val="Arial"/>
      <family val="2"/>
    </font>
    <font>
      <b/>
      <sz val="14"/>
      <color indexed="12"/>
      <name val="Arial"/>
      <family val="2"/>
    </font>
    <font>
      <b/>
      <sz val="11"/>
      <name val="Arial"/>
      <family val="2"/>
    </font>
    <font>
      <b/>
      <sz val="12"/>
      <name val="Times New Roman"/>
      <family val="1"/>
    </font>
    <font>
      <b/>
      <sz val="16"/>
      <color indexed="18"/>
      <name val="Arial"/>
      <family val="2"/>
    </font>
    <font>
      <sz val="6"/>
      <name val="Arial"/>
      <family val="2"/>
    </font>
    <font>
      <b/>
      <sz val="12"/>
      <color indexed="10"/>
      <name val="Arial"/>
      <family val="2"/>
    </font>
    <font>
      <b/>
      <u/>
      <sz val="22"/>
      <color indexed="10"/>
      <name val="Times New Roman"/>
      <family val="1"/>
    </font>
    <font>
      <b/>
      <sz val="12"/>
      <color indexed="16"/>
      <name val="Times New Roman"/>
      <family val="1"/>
    </font>
    <font>
      <b/>
      <u/>
      <sz val="22"/>
      <color indexed="16"/>
      <name val="Times New Roman"/>
      <family val="1"/>
    </font>
    <font>
      <b/>
      <u/>
      <sz val="22"/>
      <color indexed="10"/>
      <name val="Arial"/>
      <family val="2"/>
    </font>
    <font>
      <b/>
      <u/>
      <sz val="18"/>
      <color indexed="10"/>
      <name val="Times New Roman"/>
      <family val="1"/>
    </font>
    <font>
      <b/>
      <sz val="12"/>
      <color indexed="62"/>
      <name val="Times New Roman"/>
      <family val="1"/>
    </font>
    <font>
      <b/>
      <sz val="12"/>
      <color indexed="32"/>
      <name val="Times New Roman"/>
      <family val="1"/>
    </font>
    <font>
      <sz val="12"/>
      <color indexed="32"/>
      <name val="Times New Roman"/>
      <family val="1"/>
    </font>
    <font>
      <b/>
      <sz val="10"/>
      <name val="Arial"/>
      <family val="2"/>
    </font>
    <font>
      <b/>
      <sz val="16"/>
      <color indexed="32"/>
      <name val="Times New Roman"/>
      <family val="1"/>
    </font>
    <font>
      <b/>
      <sz val="16"/>
      <color indexed="32"/>
      <name val="Poster Bodoni ATT"/>
      <family val="1"/>
    </font>
    <font>
      <b/>
      <sz val="8"/>
      <name val="Times New Roman"/>
      <family val="1"/>
    </font>
    <font>
      <b/>
      <sz val="14"/>
      <name val="Times New Roman"/>
      <family val="1"/>
    </font>
    <font>
      <b/>
      <u val="double"/>
      <sz val="14"/>
      <name val="Times New Roman"/>
      <family val="1"/>
    </font>
    <font>
      <sz val="14"/>
      <name val="Times New Roman"/>
      <family val="1"/>
    </font>
    <font>
      <b/>
      <sz val="18"/>
      <color indexed="32"/>
      <name val="Times New Roman"/>
      <family val="1"/>
    </font>
    <font>
      <sz val="12"/>
      <color indexed="17"/>
      <name val="Times New Roman"/>
      <family val="1"/>
    </font>
    <font>
      <sz val="10"/>
      <name val="Times New Roman"/>
      <family val="1"/>
    </font>
    <font>
      <b/>
      <sz val="6"/>
      <name val="Times New Roman"/>
      <family val="1"/>
    </font>
    <font>
      <b/>
      <sz val="10"/>
      <name val="Times New Roman"/>
      <family val="1"/>
    </font>
    <font>
      <b/>
      <sz val="11"/>
      <name val="Times New Roman"/>
      <family val="1"/>
    </font>
    <font>
      <b/>
      <sz val="14"/>
      <color indexed="8"/>
      <name val="Times New Roman"/>
      <family val="1"/>
    </font>
    <font>
      <b/>
      <sz val="16"/>
      <color indexed="18"/>
      <name val="Times New Roman"/>
      <family val="1"/>
    </font>
    <font>
      <b/>
      <sz val="14"/>
      <color indexed="10"/>
      <name val="Times New Roman"/>
      <family val="1"/>
    </font>
    <font>
      <b/>
      <sz val="14"/>
      <color indexed="18"/>
      <name val="Times New Roman"/>
      <family val="1"/>
    </font>
    <font>
      <sz val="8"/>
      <name val="Times New Roman"/>
      <family val="1"/>
    </font>
    <font>
      <b/>
      <sz val="16"/>
      <color indexed="62"/>
      <name val="Times New Roman"/>
      <family val="1"/>
    </font>
    <font>
      <sz val="6"/>
      <name val="Times New Roman"/>
      <family val="1"/>
    </font>
    <font>
      <b/>
      <sz val="16"/>
      <name val="Times New Roman"/>
      <family val="1"/>
    </font>
    <font>
      <sz val="14"/>
      <color indexed="32"/>
      <name val="Times New Roman"/>
      <family val="1"/>
    </font>
    <font>
      <sz val="16"/>
      <name val="Times New Roman"/>
      <family val="1"/>
    </font>
    <font>
      <b/>
      <sz val="18"/>
      <color indexed="60"/>
      <name val="Arial"/>
      <family val="2"/>
    </font>
    <font>
      <sz val="10"/>
      <name val="Arial"/>
      <family val="2"/>
    </font>
    <font>
      <sz val="11"/>
      <name val="Arial"/>
      <family val="2"/>
    </font>
    <font>
      <sz val="12"/>
      <color theme="1"/>
      <name val="LegacySanITCBoo"/>
      <family val="2"/>
    </font>
    <font>
      <b/>
      <sz val="12"/>
      <color theme="1"/>
      <name val="LegacySanITCBoo"/>
      <family val="2"/>
    </font>
    <font>
      <sz val="12"/>
      <name val="LegacySanITCBoo"/>
      <family val="2"/>
    </font>
    <font>
      <b/>
      <sz val="16"/>
      <color theme="3"/>
      <name val="Times New Roman"/>
      <family val="1"/>
    </font>
    <font>
      <b/>
      <sz val="11"/>
      <color theme="1"/>
      <name val="LegacySanITCBoo"/>
      <family val="2"/>
    </font>
    <font>
      <sz val="11"/>
      <name val="LegacySanITCBoo"/>
      <family val="2"/>
    </font>
    <font>
      <sz val="11"/>
      <name val="Times New Roman"/>
      <family val="1"/>
    </font>
    <font>
      <b/>
      <sz val="13"/>
      <color indexed="32"/>
      <name val="Times New Roman"/>
      <family val="1"/>
    </font>
    <font>
      <sz val="10"/>
      <color theme="1"/>
      <name val="LegacySanITCBoo"/>
      <family val="2"/>
    </font>
    <font>
      <i/>
      <sz val="12"/>
      <color theme="1"/>
      <name val="LegacySanITCBoo"/>
      <family val="2"/>
    </font>
    <font>
      <b/>
      <i/>
      <sz val="12"/>
      <color theme="1"/>
      <name val="LegacySanITCBoo"/>
      <family val="2"/>
    </font>
    <font>
      <b/>
      <sz val="16"/>
      <color rgb="FF002060"/>
      <name val="Times New Roman"/>
      <family val="1"/>
    </font>
    <font>
      <b/>
      <sz val="12"/>
      <color theme="3" tint="-0.249977111117893"/>
      <name val="LegacySanITCBoo"/>
      <family val="2"/>
    </font>
    <font>
      <b/>
      <sz val="14"/>
      <color theme="3" tint="-0.499984740745262"/>
      <name val="LegacySanITCBoo"/>
      <family val="2"/>
    </font>
    <font>
      <b/>
      <i/>
      <sz val="12"/>
      <color theme="3" tint="-0.249977111117893"/>
      <name val="LegacySanITCBoo"/>
      <family val="2"/>
    </font>
    <font>
      <sz val="12"/>
      <color theme="3" tint="-0.249977111117893"/>
      <name val="LegacySanITCBoo"/>
      <family val="2"/>
    </font>
  </fonts>
  <fills count="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9"/>
        <bgColor indexed="64"/>
      </patternFill>
    </fill>
    <fill>
      <patternFill patternType="solid">
        <fgColor indexed="47"/>
        <bgColor indexed="64"/>
      </patternFill>
    </fill>
    <fill>
      <patternFill patternType="solid">
        <fgColor rgb="FFFFCC99"/>
        <bgColor indexed="64"/>
      </patternFill>
    </fill>
    <fill>
      <patternFill patternType="solid">
        <fgColor theme="0" tint="-0.14999847407452621"/>
        <bgColor indexed="64"/>
      </patternFill>
    </fill>
    <fill>
      <patternFill patternType="solid">
        <fgColor theme="0"/>
        <bgColor indexed="64"/>
      </patternFill>
    </fill>
  </fills>
  <borders count="33">
    <border>
      <left/>
      <right/>
      <top/>
      <bottom/>
      <diagonal/>
    </border>
    <border>
      <left style="thin">
        <color auto="1"/>
      </left>
      <right/>
      <top style="thin">
        <color auto="1"/>
      </top>
      <bottom style="thin">
        <color auto="1"/>
      </bottom>
      <diagonal/>
    </border>
    <border>
      <left/>
      <right/>
      <top/>
      <bottom style="double">
        <color auto="1"/>
      </bottom>
      <diagonal/>
    </border>
    <border>
      <left/>
      <right/>
      <top style="double">
        <color auto="1"/>
      </top>
      <bottom/>
      <diagonal/>
    </border>
    <border>
      <left/>
      <right/>
      <top style="double">
        <color auto="1"/>
      </top>
      <bottom style="double">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double">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double">
        <color indexed="64"/>
      </bottom>
      <diagonal/>
    </border>
  </borders>
  <cellStyleXfs count="18">
    <xf numFmtId="0" fontId="0" fillId="0" borderId="0"/>
    <xf numFmtId="0" fontId="19" fillId="0" borderId="1" applyFont="0" applyBorder="0" applyProtection="0">
      <protection locked="0"/>
    </xf>
    <xf numFmtId="0" fontId="19" fillId="0" borderId="1" applyFont="0" applyProtection="0">
      <protection locked="0"/>
    </xf>
    <xf numFmtId="0" fontId="6" fillId="0" borderId="0"/>
    <xf numFmtId="164" fontId="61" fillId="0" borderId="0" applyFont="0" applyFill="0" applyBorder="0" applyAlignment="0" applyProtection="0"/>
    <xf numFmtId="16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5" fillId="0" borderId="0"/>
    <xf numFmtId="164" fontId="5" fillId="0" borderId="0" applyFont="0" applyFill="0" applyBorder="0" applyAlignment="0" applyProtection="0"/>
    <xf numFmtId="0" fontId="4" fillId="0" borderId="0"/>
    <xf numFmtId="164" fontId="4" fillId="0" borderId="0" applyFont="0" applyFill="0" applyBorder="0" applyAlignment="0" applyProtection="0"/>
    <xf numFmtId="0" fontId="3" fillId="0" borderId="0"/>
    <xf numFmtId="0" fontId="2" fillId="0" borderId="0"/>
    <xf numFmtId="164" fontId="2" fillId="0" borderId="0" applyFont="0" applyFill="0" applyBorder="0" applyAlignment="0" applyProtection="0"/>
  </cellStyleXfs>
  <cellXfs count="624">
    <xf numFmtId="0" fontId="0" fillId="0" borderId="0" xfId="0"/>
    <xf numFmtId="0" fontId="7" fillId="0" borderId="0" xfId="0" applyFont="1" applyAlignment="1">
      <alignment horizontal="centerContinuous"/>
    </xf>
    <xf numFmtId="0" fontId="8" fillId="0" borderId="0" xfId="0" applyFont="1" applyAlignment="1">
      <alignment horizontal="centerContinuous"/>
    </xf>
    <xf numFmtId="0" fontId="9" fillId="0" borderId="0" xfId="0" applyFont="1" applyAlignment="1">
      <alignment horizontal="centerContinuous"/>
    </xf>
    <xf numFmtId="0" fontId="10" fillId="0" borderId="0" xfId="0" applyFont="1"/>
    <xf numFmtId="0" fontId="11" fillId="0" borderId="0" xfId="0" applyFont="1" applyBorder="1" applyAlignment="1">
      <alignment horizontal="center"/>
    </xf>
    <xf numFmtId="0" fontId="12" fillId="0" borderId="0" xfId="0" applyFont="1" applyBorder="1" applyAlignment="1">
      <alignment horizontal="center"/>
    </xf>
    <xf numFmtId="0" fontId="9" fillId="0" borderId="0" xfId="0" applyFont="1"/>
    <xf numFmtId="0" fontId="13" fillId="0" borderId="0" xfId="0" applyFont="1" applyBorder="1" applyAlignment="1">
      <alignment horizontal="left" vertical="top" wrapText="1"/>
    </xf>
    <xf numFmtId="0" fontId="14" fillId="0" borderId="0" xfId="0" applyFont="1" applyAlignment="1">
      <alignment horizontal="centerContinuous"/>
    </xf>
    <xf numFmtId="0" fontId="15" fillId="0" borderId="0" xfId="0" applyFont="1" applyAlignment="1">
      <alignment horizontal="centerContinuous"/>
    </xf>
    <xf numFmtId="0" fontId="14" fillId="0" borderId="0" xfId="0" applyFont="1" applyBorder="1" applyAlignment="1">
      <alignment horizontal="left" wrapText="1"/>
    </xf>
    <xf numFmtId="0" fontId="14" fillId="0" borderId="0" xfId="0" applyFont="1" applyBorder="1" applyAlignment="1">
      <alignment horizontal="right"/>
    </xf>
    <xf numFmtId="0" fontId="14" fillId="0" borderId="0" xfId="0" applyFont="1"/>
    <xf numFmtId="0" fontId="16" fillId="0" borderId="0" xfId="0" applyFont="1" applyBorder="1" applyAlignment="1">
      <alignment horizontal="right"/>
    </xf>
    <xf numFmtId="0" fontId="15" fillId="0" borderId="0" xfId="0" applyFont="1"/>
    <xf numFmtId="4" fontId="14" fillId="0" borderId="0" xfId="0" applyNumberFormat="1" applyFont="1" applyBorder="1" applyAlignment="1">
      <alignment horizontal="center"/>
    </xf>
    <xf numFmtId="4" fontId="14" fillId="0" borderId="0" xfId="0" applyNumberFormat="1" applyFont="1" applyAlignment="1">
      <alignment horizontal="center"/>
    </xf>
    <xf numFmtId="4" fontId="14" fillId="0" borderId="0" xfId="5" applyNumberFormat="1" applyFont="1" applyBorder="1" applyAlignment="1">
      <alignment horizontal="center"/>
    </xf>
    <xf numFmtId="167" fontId="6" fillId="0" borderId="0" xfId="5" applyNumberFormat="1" applyAlignment="1">
      <alignment horizontal="right"/>
    </xf>
    <xf numFmtId="167" fontId="14" fillId="0" borderId="0" xfId="5" applyNumberFormat="1" applyFont="1" applyBorder="1" applyAlignment="1">
      <alignment horizontal="center"/>
    </xf>
    <xf numFmtId="168" fontId="14" fillId="0" borderId="0" xfId="5" applyNumberFormat="1" applyFont="1" applyBorder="1" applyAlignment="1">
      <alignment horizontal="center"/>
    </xf>
    <xf numFmtId="4" fontId="15" fillId="0" borderId="0" xfId="0" applyNumberFormat="1" applyFont="1" applyBorder="1"/>
    <xf numFmtId="0" fontId="8" fillId="0" borderId="0" xfId="0" applyFont="1"/>
    <xf numFmtId="0" fontId="8" fillId="0" borderId="0" xfId="0" applyFont="1" applyBorder="1"/>
    <xf numFmtId="0" fontId="17" fillId="0" borderId="0" xfId="0" applyFont="1"/>
    <xf numFmtId="0" fontId="15" fillId="0" borderId="0" xfId="0" applyFont="1" applyBorder="1" applyAlignment="1">
      <alignment horizontal="right"/>
    </xf>
    <xf numFmtId="0" fontId="14" fillId="0" borderId="0" xfId="0" applyFont="1" applyBorder="1"/>
    <xf numFmtId="0" fontId="15" fillId="0" borderId="0" xfId="0" applyFont="1" applyBorder="1"/>
    <xf numFmtId="4" fontId="14" fillId="0" borderId="0" xfId="0" applyNumberFormat="1" applyFont="1"/>
    <xf numFmtId="4" fontId="15" fillId="0" borderId="0" xfId="0" applyNumberFormat="1" applyFont="1"/>
    <xf numFmtId="9" fontId="14" fillId="0" borderId="0" xfId="9" applyFont="1" applyBorder="1"/>
    <xf numFmtId="0" fontId="9" fillId="0" borderId="0" xfId="0" applyFont="1" applyBorder="1"/>
    <xf numFmtId="0" fontId="19" fillId="0" borderId="0" xfId="0" applyFont="1"/>
    <xf numFmtId="4" fontId="0" fillId="0" borderId="0" xfId="0" applyNumberFormat="1" applyAlignment="1">
      <alignment horizontal="center"/>
    </xf>
    <xf numFmtId="4" fontId="0" fillId="0" borderId="0" xfId="0" applyNumberFormat="1"/>
    <xf numFmtId="4" fontId="23" fillId="3" borderId="0" xfId="0" applyNumberFormat="1" applyFont="1" applyFill="1"/>
    <xf numFmtId="0" fontId="24" fillId="0" borderId="0" xfId="0" applyFont="1"/>
    <xf numFmtId="4" fontId="10" fillId="0" borderId="0" xfId="0" applyNumberFormat="1" applyFont="1"/>
    <xf numFmtId="4" fontId="9" fillId="0" borderId="0" xfId="0" applyNumberFormat="1" applyFont="1"/>
    <xf numFmtId="3" fontId="19" fillId="0" borderId="0" xfId="0" applyNumberFormat="1" applyFont="1"/>
    <xf numFmtId="0" fontId="19" fillId="0" borderId="0" xfId="0" applyFont="1" applyBorder="1"/>
    <xf numFmtId="0" fontId="0" fillId="0" borderId="0" xfId="0" applyFill="1"/>
    <xf numFmtId="0" fontId="27" fillId="0" borderId="0" xfId="0" applyFont="1"/>
    <xf numFmtId="0" fontId="29" fillId="0" borderId="0" xfId="0" applyFont="1" applyBorder="1" applyAlignment="1">
      <alignment horizontal="centerContinuous"/>
    </xf>
    <xf numFmtId="0" fontId="30" fillId="0" borderId="0" xfId="0" applyFont="1" applyAlignment="1">
      <alignment horizontal="centerContinuous"/>
    </xf>
    <xf numFmtId="0" fontId="31" fillId="0" borderId="0" xfId="0" applyFont="1" applyBorder="1" applyAlignment="1">
      <alignment horizontal="centerContinuous"/>
    </xf>
    <xf numFmtId="0" fontId="32" fillId="0" borderId="0" xfId="0" applyFont="1" applyBorder="1" applyAlignment="1">
      <alignment horizontal="centerContinuous"/>
    </xf>
    <xf numFmtId="0" fontId="10" fillId="0" borderId="0" xfId="0" applyFont="1" applyBorder="1"/>
    <xf numFmtId="0" fontId="9" fillId="0" borderId="0" xfId="0" applyFont="1" applyFill="1" applyBorder="1"/>
    <xf numFmtId="0" fontId="27" fillId="0" borderId="0" xfId="0" applyFont="1" applyFill="1"/>
    <xf numFmtId="0" fontId="9" fillId="0" borderId="0" xfId="0" applyFont="1" applyFill="1"/>
    <xf numFmtId="0" fontId="33" fillId="0" borderId="0" xfId="0" applyFont="1" applyAlignment="1">
      <alignment horizontal="right"/>
    </xf>
    <xf numFmtId="0" fontId="0" fillId="0" borderId="0" xfId="0" applyAlignment="1">
      <alignment horizontal="centerContinuous"/>
    </xf>
    <xf numFmtId="0" fontId="33" fillId="0" borderId="0" xfId="0" applyFont="1" applyAlignment="1">
      <alignment horizontal="centerContinuous"/>
    </xf>
    <xf numFmtId="0" fontId="35" fillId="0" borderId="0" xfId="0" applyFont="1" applyBorder="1" applyAlignment="1">
      <alignment horizontal="centerContinuous"/>
    </xf>
    <xf numFmtId="0" fontId="36" fillId="0" borderId="0" xfId="0" applyFont="1" applyBorder="1" applyAlignment="1">
      <alignment horizontal="centerContinuous"/>
    </xf>
    <xf numFmtId="0" fontId="37" fillId="0" borderId="0" xfId="0" applyFont="1" applyAlignment="1">
      <alignment horizontal="center"/>
    </xf>
    <xf numFmtId="0" fontId="15" fillId="0" borderId="0" xfId="0" applyFont="1" applyAlignment="1">
      <alignment horizontal="center"/>
    </xf>
    <xf numFmtId="3" fontId="15" fillId="0" borderId="0" xfId="0" applyNumberFormat="1" applyFont="1" applyBorder="1" applyAlignment="1">
      <alignment horizontal="center"/>
    </xf>
    <xf numFmtId="3" fontId="28" fillId="0" borderId="0" xfId="0" applyNumberFormat="1" applyFont="1" applyBorder="1" applyAlignment="1">
      <alignment horizontal="right"/>
    </xf>
    <xf numFmtId="4" fontId="28" fillId="0" borderId="0" xfId="0" applyNumberFormat="1" applyFont="1" applyBorder="1"/>
    <xf numFmtId="3" fontId="15" fillId="0" borderId="0" xfId="0" applyNumberFormat="1" applyFont="1" applyAlignment="1">
      <alignment horizontal="center"/>
    </xf>
    <xf numFmtId="3" fontId="15" fillId="0" borderId="0" xfId="0" applyNumberFormat="1" applyFont="1" applyAlignment="1">
      <alignment horizontal="left"/>
    </xf>
    <xf numFmtId="3" fontId="15" fillId="0" borderId="0" xfId="0" applyNumberFormat="1" applyFont="1" applyBorder="1"/>
    <xf numFmtId="10" fontId="28" fillId="0" borderId="0" xfId="9" applyNumberFormat="1" applyFont="1" applyBorder="1"/>
    <xf numFmtId="0" fontId="27" fillId="0" borderId="0" xfId="0" applyFont="1" applyBorder="1"/>
    <xf numFmtId="0" fontId="0" fillId="0" borderId="0" xfId="0" applyBorder="1"/>
    <xf numFmtId="4" fontId="0" fillId="0" borderId="0" xfId="0" applyNumberFormat="1" applyBorder="1"/>
    <xf numFmtId="3" fontId="28" fillId="0" borderId="0" xfId="0" applyNumberFormat="1" applyFont="1" applyBorder="1"/>
    <xf numFmtId="0" fontId="19" fillId="0" borderId="0" xfId="0" applyFont="1" applyAlignment="1">
      <alignment horizontal="centerContinuous"/>
    </xf>
    <xf numFmtId="0" fontId="21" fillId="0" borderId="0" xfId="0" applyFont="1" applyAlignment="1">
      <alignment horizontal="center"/>
    </xf>
    <xf numFmtId="3" fontId="39" fillId="0" borderId="0" xfId="0" applyNumberFormat="1" applyFont="1" applyBorder="1"/>
    <xf numFmtId="0" fontId="17" fillId="0" borderId="0" xfId="0" applyFont="1" applyAlignment="1">
      <alignment horizontal="center"/>
    </xf>
    <xf numFmtId="0" fontId="0" fillId="0" borderId="0" xfId="0" applyAlignment="1">
      <alignment horizontal="center"/>
    </xf>
    <xf numFmtId="0" fontId="0" fillId="0" borderId="0" xfId="0" applyBorder="1" applyAlignment="1">
      <alignment horizontal="justify" vertical="center"/>
    </xf>
    <xf numFmtId="0" fontId="8" fillId="0" borderId="0" xfId="0" applyFont="1" applyAlignment="1">
      <alignment horizontal="center"/>
    </xf>
    <xf numFmtId="0" fontId="8" fillId="0" borderId="0" xfId="0" applyFont="1" applyBorder="1" applyAlignment="1">
      <alignment horizontal="justify" vertical="center" wrapText="1"/>
    </xf>
    <xf numFmtId="0" fontId="14" fillId="0" borderId="2" xfId="0" applyFont="1" applyBorder="1"/>
    <xf numFmtId="0" fontId="41" fillId="0" borderId="0" xfId="0" applyFont="1" applyBorder="1" applyAlignment="1">
      <alignment horizontal="center"/>
    </xf>
    <xf numFmtId="0" fontId="41" fillId="0" borderId="0" xfId="0" applyFont="1" applyBorder="1" applyAlignment="1">
      <alignment horizontal="right"/>
    </xf>
    <xf numFmtId="0" fontId="41" fillId="0" borderId="2" xfId="0" applyFont="1" applyBorder="1"/>
    <xf numFmtId="0" fontId="42" fillId="0" borderId="2" xfId="0" applyFont="1" applyBorder="1" applyAlignment="1">
      <alignment horizontal="right"/>
    </xf>
    <xf numFmtId="0" fontId="41" fillId="0" borderId="0" xfId="0" applyFont="1" applyBorder="1"/>
    <xf numFmtId="4" fontId="41" fillId="0" borderId="0" xfId="0" applyNumberFormat="1" applyFont="1" applyBorder="1" applyAlignment="1">
      <alignment horizontal="center"/>
    </xf>
    <xf numFmtId="168" fontId="41" fillId="0" borderId="0" xfId="5" applyNumberFormat="1" applyFont="1" applyBorder="1" applyAlignment="1">
      <alignment horizontal="center"/>
    </xf>
    <xf numFmtId="0" fontId="43" fillId="0" borderId="2" xfId="0" applyFont="1" applyBorder="1"/>
    <xf numFmtId="0" fontId="41" fillId="0" borderId="0" xfId="0" applyFont="1" applyAlignment="1">
      <alignment horizontal="center"/>
    </xf>
    <xf numFmtId="0" fontId="9" fillId="0" borderId="0" xfId="0" applyFont="1" applyAlignment="1">
      <alignment horizontal="center"/>
    </xf>
    <xf numFmtId="0" fontId="15" fillId="0" borderId="2" xfId="0" applyFont="1" applyBorder="1"/>
    <xf numFmtId="0" fontId="43" fillId="0" borderId="0" xfId="0" applyFont="1"/>
    <xf numFmtId="0" fontId="43" fillId="0" borderId="0" xfId="0" applyFont="1" applyAlignment="1">
      <alignment horizontal="center"/>
    </xf>
    <xf numFmtId="0" fontId="41" fillId="0" borderId="0" xfId="0" applyFont="1" applyAlignment="1">
      <alignment horizontal="centerContinuous"/>
    </xf>
    <xf numFmtId="0" fontId="40" fillId="0" borderId="0" xfId="0" applyFont="1" applyBorder="1" applyAlignment="1">
      <alignment horizontal="center"/>
    </xf>
    <xf numFmtId="0" fontId="41" fillId="0" borderId="2" xfId="0" applyFont="1" applyBorder="1" applyAlignment="1">
      <alignment horizontal="center"/>
    </xf>
    <xf numFmtId="0" fontId="41" fillId="0" borderId="0" xfId="0" applyFont="1"/>
    <xf numFmtId="4" fontId="41" fillId="0" borderId="0" xfId="0" applyNumberFormat="1" applyFont="1" applyBorder="1" applyAlignment="1">
      <alignment horizontal="justify" vertical="center" wrapText="1"/>
    </xf>
    <xf numFmtId="0" fontId="19" fillId="0" borderId="0" xfId="0" applyFont="1" applyAlignment="1">
      <alignment horizontal="center"/>
    </xf>
    <xf numFmtId="4" fontId="19" fillId="0" borderId="0" xfId="0" applyNumberFormat="1" applyFont="1" applyAlignment="1">
      <alignment horizontal="center"/>
    </xf>
    <xf numFmtId="4" fontId="9" fillId="0" borderId="0" xfId="0" applyNumberFormat="1" applyFont="1" applyAlignment="1">
      <alignment horizontal="center"/>
    </xf>
    <xf numFmtId="0" fontId="45" fillId="0" borderId="0" xfId="0" applyFont="1" applyFill="1" applyAlignment="1">
      <alignment horizontal="centerContinuous"/>
    </xf>
    <xf numFmtId="0" fontId="46" fillId="0" borderId="0" xfId="0" applyFont="1" applyFill="1"/>
    <xf numFmtId="0" fontId="0" fillId="0" borderId="0" xfId="0" applyAlignment="1">
      <alignment horizontal="center" vertical="center"/>
    </xf>
    <xf numFmtId="0" fontId="20" fillId="0" borderId="0" xfId="0" applyFont="1" applyAlignment="1">
      <alignment horizontal="center"/>
    </xf>
    <xf numFmtId="0" fontId="26" fillId="0" borderId="0" xfId="0" applyFont="1" applyFill="1" applyBorder="1" applyAlignment="1">
      <alignment horizontal="center"/>
    </xf>
    <xf numFmtId="0" fontId="38" fillId="0" borderId="0" xfId="0" applyFont="1" applyBorder="1" applyAlignment="1">
      <alignment horizontal="center"/>
    </xf>
    <xf numFmtId="0" fontId="47" fillId="0" borderId="0" xfId="0" applyFont="1" applyBorder="1" applyAlignment="1">
      <alignment horizontal="right" vertical="top" wrapText="1"/>
    </xf>
    <xf numFmtId="0" fontId="25" fillId="0" borderId="0" xfId="0" applyFont="1" applyBorder="1" applyAlignment="1">
      <alignment horizontal="center"/>
    </xf>
    <xf numFmtId="0" fontId="25" fillId="0" borderId="0" xfId="0" applyFont="1" applyAlignment="1">
      <alignment horizontal="center"/>
    </xf>
    <xf numFmtId="4" fontId="48" fillId="0" borderId="0" xfId="0" applyNumberFormat="1" applyFont="1" applyBorder="1" applyAlignment="1">
      <alignment horizontal="justify" vertical="center" wrapText="1"/>
    </xf>
    <xf numFmtId="0" fontId="42" fillId="0" borderId="0" xfId="0" applyFont="1" applyBorder="1" applyAlignment="1">
      <alignment horizontal="right"/>
    </xf>
    <xf numFmtId="0" fontId="43" fillId="0" borderId="0" xfId="0" applyFont="1" applyBorder="1"/>
    <xf numFmtId="168" fontId="41" fillId="0" borderId="0" xfId="5" applyNumberFormat="1" applyFont="1" applyBorder="1" applyAlignment="1">
      <alignment horizontal="left"/>
    </xf>
    <xf numFmtId="0" fontId="25" fillId="0" borderId="0" xfId="0" applyFont="1" applyBorder="1" applyAlignment="1">
      <alignment horizontal="right"/>
    </xf>
    <xf numFmtId="4" fontId="25" fillId="0" borderId="0" xfId="0" applyNumberFormat="1" applyFont="1" applyBorder="1" applyAlignment="1">
      <alignment horizontal="center"/>
    </xf>
    <xf numFmtId="0" fontId="25" fillId="0" borderId="0" xfId="0" applyFont="1" applyAlignment="1">
      <alignment horizontal="right"/>
    </xf>
    <xf numFmtId="4" fontId="25" fillId="0" borderId="0" xfId="5" applyNumberFormat="1" applyFont="1" applyBorder="1" applyAlignment="1">
      <alignment horizontal="center"/>
    </xf>
    <xf numFmtId="168" fontId="25" fillId="0" borderId="0" xfId="5" applyNumberFormat="1" applyFont="1" applyBorder="1" applyAlignment="1">
      <alignment horizontal="center"/>
    </xf>
    <xf numFmtId="0" fontId="44" fillId="0" borderId="0" xfId="0" applyFont="1" applyAlignment="1">
      <alignment horizontal="center"/>
    </xf>
    <xf numFmtId="0" fontId="38" fillId="0" borderId="0" xfId="0" applyFont="1" applyAlignment="1">
      <alignment horizontal="center"/>
    </xf>
    <xf numFmtId="0" fontId="47" fillId="0" borderId="0" xfId="0" applyFont="1" applyBorder="1" applyAlignment="1">
      <alignment horizontal="right"/>
    </xf>
    <xf numFmtId="4" fontId="49" fillId="0" borderId="0" xfId="0" applyNumberFormat="1" applyFont="1" applyBorder="1" applyAlignment="1">
      <alignment horizontal="justify" vertical="center" wrapText="1"/>
    </xf>
    <xf numFmtId="0" fontId="34" fillId="0" borderId="0" xfId="0" applyFont="1" applyBorder="1" applyAlignment="1">
      <alignment horizontal="center"/>
    </xf>
    <xf numFmtId="4" fontId="19" fillId="0" borderId="0" xfId="0" applyNumberFormat="1" applyFont="1" applyBorder="1" applyAlignment="1">
      <alignment horizontal="center"/>
    </xf>
    <xf numFmtId="0" fontId="50" fillId="0" borderId="0" xfId="0" applyFont="1" applyAlignment="1">
      <alignment horizontal="right"/>
    </xf>
    <xf numFmtId="4" fontId="41" fillId="0" borderId="0" xfId="0" quotePrefix="1" applyNumberFormat="1" applyFont="1" applyAlignment="1">
      <alignment horizontal="right"/>
    </xf>
    <xf numFmtId="0" fontId="50" fillId="0" borderId="0" xfId="0" applyFont="1" applyBorder="1" applyAlignment="1">
      <alignment horizontal="right"/>
    </xf>
    <xf numFmtId="4" fontId="50" fillId="0" borderId="0" xfId="0" applyNumberFormat="1" applyFont="1" applyBorder="1" applyAlignment="1">
      <alignment horizontal="right"/>
    </xf>
    <xf numFmtId="4" fontId="43" fillId="0" borderId="0" xfId="0" applyNumberFormat="1" applyFont="1" applyBorder="1" applyAlignment="1">
      <alignment horizontal="right"/>
    </xf>
    <xf numFmtId="4" fontId="41" fillId="3" borderId="0" xfId="0" applyNumberFormat="1" applyFont="1" applyFill="1" applyAlignment="1">
      <alignment horizontal="right"/>
    </xf>
    <xf numFmtId="4" fontId="41" fillId="3" borderId="0" xfId="0" applyNumberFormat="1" applyFont="1" applyFill="1" applyBorder="1" applyAlignment="1">
      <alignment horizontal="right"/>
    </xf>
    <xf numFmtId="4" fontId="41" fillId="0" borderId="0" xfId="0" applyNumberFormat="1" applyFont="1" applyAlignment="1">
      <alignment horizontal="right"/>
    </xf>
    <xf numFmtId="4" fontId="41" fillId="0" borderId="0" xfId="0" applyNumberFormat="1" applyFont="1" applyBorder="1" applyAlignment="1">
      <alignment horizontal="right"/>
    </xf>
    <xf numFmtId="0" fontId="51" fillId="0" borderId="0" xfId="0" applyFont="1" applyFill="1" applyAlignment="1">
      <alignment horizontal="center"/>
    </xf>
    <xf numFmtId="0" fontId="52" fillId="0" borderId="2" xfId="0" applyFont="1" applyBorder="1" applyAlignment="1">
      <alignment horizontal="right"/>
    </xf>
    <xf numFmtId="4" fontId="41" fillId="0" borderId="0" xfId="0" applyNumberFormat="1" applyFont="1" applyBorder="1"/>
    <xf numFmtId="4" fontId="41" fillId="0" borderId="0" xfId="6" applyNumberFormat="1" applyFont="1" applyBorder="1"/>
    <xf numFmtId="4" fontId="41" fillId="0" borderId="0" xfId="6" applyNumberFormat="1" applyFont="1"/>
    <xf numFmtId="3" fontId="43" fillId="0" borderId="2" xfId="0" applyNumberFormat="1" applyFont="1" applyBorder="1"/>
    <xf numFmtId="4" fontId="50" fillId="0" borderId="0" xfId="0" applyNumberFormat="1" applyFont="1"/>
    <xf numFmtId="4" fontId="41" fillId="0" borderId="0" xfId="0" applyNumberFormat="1" applyFont="1"/>
    <xf numFmtId="0" fontId="54" fillId="0" borderId="2" xfId="0" applyFont="1" applyBorder="1"/>
    <xf numFmtId="0" fontId="21" fillId="0" borderId="2" xfId="0" applyFont="1" applyBorder="1"/>
    <xf numFmtId="0" fontId="22" fillId="0" borderId="2" xfId="0" applyFont="1" applyBorder="1"/>
    <xf numFmtId="4" fontId="22" fillId="0" borderId="2" xfId="0" applyNumberFormat="1" applyFont="1" applyBorder="1"/>
    <xf numFmtId="4" fontId="0" fillId="0" borderId="2" xfId="0" applyNumberFormat="1" applyBorder="1"/>
    <xf numFmtId="2" fontId="50" fillId="0" borderId="0" xfId="0" applyNumberFormat="1" applyFont="1" applyBorder="1"/>
    <xf numFmtId="2" fontId="41" fillId="0" borderId="0" xfId="0" applyNumberFormat="1" applyFont="1" applyBorder="1"/>
    <xf numFmtId="2" fontId="50" fillId="0" borderId="2" xfId="0" applyNumberFormat="1" applyFont="1" applyBorder="1"/>
    <xf numFmtId="2" fontId="41" fillId="0" borderId="2" xfId="0" applyNumberFormat="1" applyFont="1" applyBorder="1"/>
    <xf numFmtId="0" fontId="41" fillId="0" borderId="0" xfId="0" applyFont="1" applyFill="1" applyBorder="1"/>
    <xf numFmtId="0" fontId="41" fillId="0" borderId="0" xfId="0" applyFont="1" applyFill="1" applyBorder="1" applyAlignment="1">
      <alignment horizontal="right"/>
    </xf>
    <xf numFmtId="0" fontId="41" fillId="0" borderId="0" xfId="0" applyFont="1" applyFill="1" applyBorder="1" applyAlignment="1">
      <alignment horizontal="center"/>
    </xf>
    <xf numFmtId="4" fontId="41" fillId="0" borderId="0" xfId="0" applyNumberFormat="1" applyFont="1" applyFill="1" applyBorder="1"/>
    <xf numFmtId="0" fontId="41" fillId="0" borderId="2" xfId="0" applyFont="1" applyFill="1" applyBorder="1" applyAlignment="1">
      <alignment horizontal="right"/>
    </xf>
    <xf numFmtId="0" fontId="41" fillId="0" borderId="2" xfId="0" applyFont="1" applyFill="1" applyBorder="1" applyAlignment="1">
      <alignment horizontal="center"/>
    </xf>
    <xf numFmtId="0" fontId="43" fillId="0" borderId="2" xfId="0" applyFont="1" applyFill="1" applyBorder="1"/>
    <xf numFmtId="0" fontId="0" fillId="0" borderId="2" xfId="0" applyBorder="1"/>
    <xf numFmtId="3" fontId="41" fillId="0" borderId="0" xfId="0" applyNumberFormat="1" applyFont="1" applyBorder="1" applyAlignment="1">
      <alignment horizontal="center"/>
    </xf>
    <xf numFmtId="3" fontId="41" fillId="0" borderId="0" xfId="0" applyNumberFormat="1" applyFont="1" applyBorder="1" applyAlignment="1">
      <alignment horizontal="left"/>
    </xf>
    <xf numFmtId="3" fontId="41" fillId="0" borderId="0" xfId="0" applyNumberFormat="1" applyFont="1" applyAlignment="1">
      <alignment horizontal="left"/>
    </xf>
    <xf numFmtId="0" fontId="55" fillId="0" borderId="0" xfId="0" applyFont="1" applyBorder="1" applyAlignment="1">
      <alignment horizontal="center" vertical="center"/>
    </xf>
    <xf numFmtId="0" fontId="56" fillId="0" borderId="0" xfId="0" applyFont="1" applyBorder="1"/>
    <xf numFmtId="0" fontId="25" fillId="0" borderId="2" xfId="0" applyFont="1" applyBorder="1"/>
    <xf numFmtId="0" fontId="25" fillId="0" borderId="0" xfId="0" applyFont="1"/>
    <xf numFmtId="0" fontId="41" fillId="0" borderId="0" xfId="0" applyFont="1" applyAlignment="1">
      <alignment horizontal="right"/>
    </xf>
    <xf numFmtId="4" fontId="41" fillId="0" borderId="0" xfId="0" applyNumberFormat="1" applyFont="1" applyAlignment="1">
      <alignment vertical="center"/>
    </xf>
    <xf numFmtId="4" fontId="41" fillId="0" borderId="0" xfId="0" applyNumberFormat="1" applyFont="1" applyBorder="1" applyAlignment="1">
      <alignment vertical="center"/>
    </xf>
    <xf numFmtId="4" fontId="41" fillId="0" borderId="2" xfId="0" applyNumberFormat="1" applyFont="1" applyBorder="1"/>
    <xf numFmtId="3" fontId="41" fillId="0" borderId="2" xfId="0" applyNumberFormat="1" applyFont="1" applyBorder="1" applyAlignment="1">
      <alignment horizontal="center"/>
    </xf>
    <xf numFmtId="3" fontId="41" fillId="0" borderId="0" xfId="0" applyNumberFormat="1" applyFont="1" applyBorder="1" applyAlignment="1">
      <alignment horizontal="left" vertical="center" wrapText="1"/>
    </xf>
    <xf numFmtId="0" fontId="51" fillId="0" borderId="0" xfId="0" applyFont="1" applyFill="1" applyBorder="1" applyAlignment="1">
      <alignment horizontal="center"/>
    </xf>
    <xf numFmtId="0" fontId="41" fillId="0" borderId="0" xfId="0" applyFont="1" applyAlignment="1">
      <alignment horizontal="left"/>
    </xf>
    <xf numFmtId="0" fontId="41" fillId="0" borderId="0" xfId="0" applyFont="1" applyBorder="1" applyAlignment="1">
      <alignment horizontal="left"/>
    </xf>
    <xf numFmtId="0" fontId="41" fillId="0" borderId="0" xfId="0" quotePrefix="1" applyFont="1" applyBorder="1" applyAlignment="1">
      <alignment horizontal="left" vertical="center" wrapText="1"/>
    </xf>
    <xf numFmtId="0" fontId="19" fillId="0" borderId="2" xfId="0" applyFont="1" applyFill="1" applyBorder="1"/>
    <xf numFmtId="0" fontId="19" fillId="0" borderId="0" xfId="0" applyFont="1" applyFill="1" applyBorder="1"/>
    <xf numFmtId="0" fontId="43" fillId="0" borderId="0" xfId="0" applyFont="1" applyFill="1" applyBorder="1"/>
    <xf numFmtId="4" fontId="41" fillId="0" borderId="0" xfId="0" applyNumberFormat="1" applyFont="1" applyFill="1" applyBorder="1" applyAlignment="1">
      <alignment vertical="center"/>
    </xf>
    <xf numFmtId="0" fontId="41" fillId="0" borderId="0" xfId="0" applyFont="1" applyFill="1" applyBorder="1" applyAlignment="1">
      <alignment vertical="center"/>
    </xf>
    <xf numFmtId="0" fontId="9" fillId="0" borderId="2" xfId="0" applyFont="1" applyFill="1" applyBorder="1"/>
    <xf numFmtId="0" fontId="50" fillId="0" borderId="2" xfId="0" applyFont="1" applyBorder="1"/>
    <xf numFmtId="0" fontId="50" fillId="0" borderId="2" xfId="0" applyFont="1" applyBorder="1" applyAlignment="1">
      <alignment horizontal="right"/>
    </xf>
    <xf numFmtId="4" fontId="41" fillId="0" borderId="5" xfId="6" applyNumberFormat="1" applyFont="1" applyBorder="1" applyAlignment="1">
      <alignment horizontal="right" vertical="center"/>
    </xf>
    <xf numFmtId="10" fontId="41" fillId="0" borderId="6" xfId="9" applyNumberFormat="1" applyFont="1" applyBorder="1" applyAlignment="1">
      <alignment horizontal="right" vertical="center"/>
    </xf>
    <xf numFmtId="0" fontId="41" fillId="0" borderId="5" xfId="0" applyFont="1" applyBorder="1" applyAlignment="1">
      <alignment vertical="center" wrapText="1"/>
    </xf>
    <xf numFmtId="0" fontId="41" fillId="0" borderId="6" xfId="0" applyFont="1" applyBorder="1" applyAlignment="1">
      <alignment vertical="center"/>
    </xf>
    <xf numFmtId="0" fontId="41" fillId="0" borderId="7" xfId="0" applyFont="1" applyBorder="1" applyAlignment="1">
      <alignment vertical="center" wrapText="1"/>
    </xf>
    <xf numFmtId="4" fontId="41" fillId="0" borderId="7" xfId="6" applyNumberFormat="1" applyFont="1" applyBorder="1" applyAlignment="1">
      <alignment horizontal="right" vertical="center"/>
    </xf>
    <xf numFmtId="0" fontId="0" fillId="0" borderId="3" xfId="0" applyBorder="1"/>
    <xf numFmtId="0" fontId="43" fillId="0" borderId="3" xfId="0" applyFont="1" applyBorder="1"/>
    <xf numFmtId="4" fontId="41" fillId="0" borderId="0" xfId="6" applyNumberFormat="1" applyFont="1" applyBorder="1" applyAlignment="1">
      <alignment vertical="center"/>
    </xf>
    <xf numFmtId="0" fontId="41" fillId="0" borderId="0" xfId="0" applyFont="1" applyBorder="1" applyAlignment="1">
      <alignment vertical="center"/>
    </xf>
    <xf numFmtId="4" fontId="43" fillId="0" borderId="0" xfId="0" applyNumberFormat="1" applyFont="1" applyBorder="1" applyAlignment="1">
      <alignment horizontal="right" vertical="center"/>
    </xf>
    <xf numFmtId="0" fontId="41" fillId="0" borderId="0" xfId="0" applyFont="1" applyBorder="1" applyAlignment="1">
      <alignment horizontal="left" vertical="center"/>
    </xf>
    <xf numFmtId="0" fontId="18" fillId="0" borderId="0" xfId="0" applyFont="1" applyFill="1" applyBorder="1" applyAlignment="1">
      <alignment horizontal="left" vertical="center" wrapText="1"/>
    </xf>
    <xf numFmtId="4" fontId="18" fillId="0" borderId="0" xfId="7" applyNumberFormat="1" applyFont="1" applyFill="1" applyBorder="1" applyAlignment="1">
      <alignment horizontal="right" vertical="center"/>
    </xf>
    <xf numFmtId="0" fontId="56" fillId="0" borderId="0" xfId="0" applyFont="1"/>
    <xf numFmtId="0" fontId="57" fillId="0" borderId="0" xfId="0" applyFont="1" applyAlignment="1">
      <alignment horizontal="center"/>
    </xf>
    <xf numFmtId="4" fontId="41" fillId="0" borderId="0" xfId="7" applyNumberFormat="1" applyFont="1" applyBorder="1" applyAlignment="1">
      <alignment horizontal="right" vertical="center"/>
    </xf>
    <xf numFmtId="0" fontId="41" fillId="0" borderId="0" xfId="0" applyFont="1" applyBorder="1" applyAlignment="1">
      <alignment wrapText="1"/>
    </xf>
    <xf numFmtId="4" fontId="43" fillId="0" borderId="0" xfId="6" applyNumberFormat="1" applyFont="1" applyBorder="1" applyAlignment="1">
      <alignment vertical="center"/>
    </xf>
    <xf numFmtId="0" fontId="41" fillId="0" borderId="0" xfId="0" applyFont="1" applyBorder="1" applyAlignment="1">
      <alignment horizontal="right" vertical="center"/>
    </xf>
    <xf numFmtId="0" fontId="43" fillId="0" borderId="0" xfId="0" applyFont="1" applyBorder="1" applyAlignment="1">
      <alignment vertical="center"/>
    </xf>
    <xf numFmtId="4" fontId="43" fillId="0" borderId="0" xfId="7" applyNumberFormat="1" applyFont="1" applyBorder="1" applyAlignment="1">
      <alignment vertical="center"/>
    </xf>
    <xf numFmtId="0" fontId="43" fillId="0" borderId="2" xfId="0" applyFont="1" applyBorder="1" applyAlignment="1">
      <alignment vertical="center"/>
    </xf>
    <xf numFmtId="0" fontId="59" fillId="0" borderId="0" xfId="0" applyFont="1"/>
    <xf numFmtId="0" fontId="41" fillId="0" borderId="0" xfId="0" applyFont="1" applyAlignment="1">
      <alignment vertical="center" wrapText="1"/>
    </xf>
    <xf numFmtId="4" fontId="43" fillId="0" borderId="0" xfId="0" applyNumberFormat="1" applyFont="1" applyAlignment="1">
      <alignment vertical="center"/>
    </xf>
    <xf numFmtId="3" fontId="18" fillId="2" borderId="4" xfId="0" applyNumberFormat="1" applyFont="1" applyFill="1" applyBorder="1" applyAlignment="1">
      <alignment horizontal="center" vertical="center"/>
    </xf>
    <xf numFmtId="4" fontId="18" fillId="2" borderId="4" xfId="0" applyNumberFormat="1" applyFont="1" applyFill="1" applyBorder="1" applyAlignment="1">
      <alignment vertical="center"/>
    </xf>
    <xf numFmtId="4" fontId="25" fillId="0" borderId="0" xfId="0" applyNumberFormat="1" applyFont="1" applyAlignment="1">
      <alignment horizontal="center"/>
    </xf>
    <xf numFmtId="10" fontId="25" fillId="0" borderId="0" xfId="9" applyNumberFormat="1" applyFont="1" applyBorder="1" applyAlignment="1">
      <alignment horizontal="center"/>
    </xf>
    <xf numFmtId="0" fontId="0" fillId="0" borderId="0" xfId="0" applyBorder="1" applyAlignment="1">
      <alignment horizontal="center" vertical="center"/>
    </xf>
    <xf numFmtId="4" fontId="43" fillId="0" borderId="2" xfId="0" applyNumberFormat="1" applyFont="1" applyBorder="1" applyAlignment="1">
      <alignment horizontal="right"/>
    </xf>
    <xf numFmtId="1" fontId="41" fillId="0" borderId="0" xfId="0" quotePrefix="1" applyNumberFormat="1" applyFont="1" applyAlignment="1">
      <alignment horizontal="right"/>
    </xf>
    <xf numFmtId="4" fontId="53" fillId="2" borderId="4" xfId="0" applyNumberFormat="1" applyFont="1" applyFill="1" applyBorder="1" applyAlignment="1">
      <alignment horizontal="center" vertical="center"/>
    </xf>
    <xf numFmtId="4" fontId="53" fillId="2" borderId="4" xfId="0" applyNumberFormat="1" applyFont="1" applyFill="1" applyBorder="1" applyAlignment="1">
      <alignment horizontal="right" vertical="center"/>
    </xf>
    <xf numFmtId="0" fontId="18" fillId="2" borderId="4" xfId="0" applyFont="1" applyFill="1" applyBorder="1" applyAlignment="1">
      <alignment horizontal="center" vertical="center"/>
    </xf>
    <xf numFmtId="0" fontId="53" fillId="2" borderId="4" xfId="0" applyFont="1" applyFill="1" applyBorder="1" applyAlignment="1">
      <alignment horizontal="center"/>
    </xf>
    <xf numFmtId="4" fontId="53" fillId="2" borderId="4" xfId="0" applyNumberFormat="1" applyFont="1" applyFill="1" applyBorder="1"/>
    <xf numFmtId="0" fontId="18" fillId="2" borderId="4" xfId="0" applyFont="1" applyFill="1" applyBorder="1" applyAlignment="1">
      <alignment horizontal="left" vertical="center"/>
    </xf>
    <xf numFmtId="0" fontId="53" fillId="2" borderId="4" xfId="0" applyFont="1" applyFill="1" applyBorder="1" applyAlignment="1">
      <alignment vertical="center"/>
    </xf>
    <xf numFmtId="4" fontId="53" fillId="2" borderId="4" xfId="0" applyNumberFormat="1" applyFont="1" applyFill="1" applyBorder="1" applyAlignment="1">
      <alignment vertical="center"/>
    </xf>
    <xf numFmtId="0" fontId="18" fillId="2" borderId="4" xfId="0" applyFont="1" applyFill="1" applyBorder="1" applyAlignment="1">
      <alignment vertical="center"/>
    </xf>
    <xf numFmtId="4" fontId="18" fillId="2" borderId="4" xfId="0" applyNumberFormat="1" applyFont="1" applyFill="1" applyBorder="1" applyAlignment="1">
      <alignment horizontal="right" vertical="center"/>
    </xf>
    <xf numFmtId="4" fontId="18" fillId="2" borderId="4" xfId="7" applyNumberFormat="1" applyFont="1" applyFill="1" applyBorder="1" applyAlignment="1">
      <alignment horizontal="right" vertical="center"/>
    </xf>
    <xf numFmtId="0" fontId="41" fillId="0" borderId="7" xfId="0" applyFont="1" applyBorder="1" applyAlignment="1">
      <alignment horizontal="left" vertical="center" wrapText="1"/>
    </xf>
    <xf numFmtId="4" fontId="43" fillId="0" borderId="7" xfId="0" applyNumberFormat="1" applyFont="1" applyBorder="1" applyAlignment="1">
      <alignment horizontal="right" vertical="center"/>
    </xf>
    <xf numFmtId="0" fontId="41" fillId="0" borderId="6" xfId="0" applyFont="1" applyBorder="1" applyAlignment="1">
      <alignment horizontal="left" vertical="center" wrapText="1"/>
    </xf>
    <xf numFmtId="4" fontId="43" fillId="0" borderId="6" xfId="0" applyNumberFormat="1" applyFont="1" applyBorder="1" applyAlignment="1">
      <alignment horizontal="right" vertical="center"/>
    </xf>
    <xf numFmtId="0" fontId="41" fillId="0" borderId="5" xfId="0" applyFont="1" applyBorder="1" applyAlignment="1">
      <alignment horizontal="left" vertical="center" wrapText="1"/>
    </xf>
    <xf numFmtId="4" fontId="43" fillId="0" borderId="5" xfId="0" applyNumberFormat="1" applyFont="1" applyBorder="1" applyAlignment="1">
      <alignment horizontal="right" vertical="center"/>
    </xf>
    <xf numFmtId="4" fontId="58" fillId="2" borderId="4" xfId="0" applyNumberFormat="1" applyFont="1" applyFill="1" applyBorder="1" applyAlignment="1">
      <alignment vertical="center"/>
    </xf>
    <xf numFmtId="0" fontId="43" fillId="0" borderId="0" xfId="0" applyFont="1" applyAlignment="1">
      <alignment vertical="center"/>
    </xf>
    <xf numFmtId="0" fontId="19" fillId="0" borderId="0" xfId="0" quotePrefix="1" applyFont="1"/>
    <xf numFmtId="0" fontId="25" fillId="0" borderId="0" xfId="0" applyFont="1" applyBorder="1"/>
    <xf numFmtId="9" fontId="41" fillId="0" borderId="0" xfId="9" applyFont="1" applyBorder="1"/>
    <xf numFmtId="0" fontId="48" fillId="0" borderId="0" xfId="0" applyFont="1"/>
    <xf numFmtId="0" fontId="43" fillId="0" borderId="7" xfId="0" applyFont="1" applyBorder="1" applyAlignment="1">
      <alignment vertical="center"/>
    </xf>
    <xf numFmtId="0" fontId="43" fillId="0" borderId="5" xfId="0" applyFont="1" applyBorder="1" applyAlignment="1">
      <alignment vertical="center"/>
    </xf>
    <xf numFmtId="4" fontId="18" fillId="2" borderId="0" xfId="0" applyNumberFormat="1" applyFont="1" applyFill="1"/>
    <xf numFmtId="4" fontId="18" fillId="2" borderId="0" xfId="6" applyNumberFormat="1" applyFont="1" applyFill="1" applyAlignment="1">
      <alignment horizontal="right"/>
    </xf>
    <xf numFmtId="3" fontId="0" fillId="0" borderId="0" xfId="0" applyNumberFormat="1"/>
    <xf numFmtId="0" fontId="18" fillId="0" borderId="0" xfId="0" applyFont="1" applyFill="1" applyBorder="1" applyAlignment="1">
      <alignment vertical="center"/>
    </xf>
    <xf numFmtId="4" fontId="18" fillId="0" borderId="0" xfId="0" applyNumberFormat="1" applyFont="1" applyFill="1" applyBorder="1" applyAlignment="1">
      <alignment vertical="center"/>
    </xf>
    <xf numFmtId="0" fontId="43" fillId="0" borderId="0" xfId="0" applyFont="1" applyAlignment="1">
      <alignment vertical="center" wrapText="1"/>
    </xf>
    <xf numFmtId="0" fontId="19" fillId="0" borderId="0" xfId="0" applyFont="1" applyBorder="1" applyAlignment="1"/>
    <xf numFmtId="0" fontId="41" fillId="0" borderId="2" xfId="0" applyFont="1" applyBorder="1" applyAlignment="1">
      <alignment horizontal="right"/>
    </xf>
    <xf numFmtId="0" fontId="15" fillId="0" borderId="2" xfId="0" applyFont="1" applyBorder="1" applyAlignment="1">
      <alignment horizontal="right"/>
    </xf>
    <xf numFmtId="0" fontId="0" fillId="0" borderId="2" xfId="0" applyBorder="1" applyAlignment="1">
      <alignment horizontal="right"/>
    </xf>
    <xf numFmtId="0" fontId="0" fillId="0" borderId="0" xfId="0" applyAlignment="1">
      <alignment horizontal="right"/>
    </xf>
    <xf numFmtId="0" fontId="43" fillId="0" borderId="0" xfId="0" applyFont="1" applyAlignment="1">
      <alignment horizontal="right"/>
    </xf>
    <xf numFmtId="3" fontId="43" fillId="0" borderId="0" xfId="0" applyNumberFormat="1" applyFont="1" applyBorder="1"/>
    <xf numFmtId="3" fontId="43" fillId="0" borderId="0" xfId="0" applyNumberFormat="1" applyFont="1" applyBorder="1" applyAlignment="1">
      <alignment horizontal="right"/>
    </xf>
    <xf numFmtId="0" fontId="43" fillId="0" borderId="2" xfId="0" applyFont="1" applyBorder="1" applyAlignment="1">
      <alignment horizontal="right"/>
    </xf>
    <xf numFmtId="0" fontId="18" fillId="2" borderId="4" xfId="0" applyFont="1" applyFill="1" applyBorder="1" applyAlignment="1">
      <alignment horizontal="right" vertical="center"/>
    </xf>
    <xf numFmtId="4" fontId="43" fillId="0" borderId="0" xfId="0" applyNumberFormat="1" applyFont="1" applyAlignment="1">
      <alignment horizontal="right" vertical="center"/>
    </xf>
    <xf numFmtId="4" fontId="43" fillId="0" borderId="0" xfId="0" applyNumberFormat="1" applyFont="1" applyFill="1" applyAlignment="1">
      <alignment horizontal="right" vertical="center"/>
    </xf>
    <xf numFmtId="4" fontId="43" fillId="0" borderId="2" xfId="0" applyNumberFormat="1" applyFont="1" applyBorder="1" applyAlignment="1">
      <alignment horizontal="right" vertical="center"/>
    </xf>
    <xf numFmtId="1" fontId="41" fillId="0" borderId="0" xfId="0" applyNumberFormat="1" applyFont="1" applyAlignment="1">
      <alignment horizontal="right" vertical="center"/>
    </xf>
    <xf numFmtId="4" fontId="43" fillId="0" borderId="5" xfId="0" applyNumberFormat="1" applyFont="1" applyBorder="1" applyAlignment="1">
      <alignment vertical="center"/>
    </xf>
    <xf numFmtId="0" fontId="46" fillId="0" borderId="0" xfId="0" applyFont="1" applyBorder="1" applyAlignment="1">
      <alignment horizontal="justify" vertical="center" wrapText="1"/>
    </xf>
    <xf numFmtId="0" fontId="16" fillId="0" borderId="2" xfId="0" applyFont="1" applyBorder="1" applyAlignment="1">
      <alignment horizontal="right"/>
    </xf>
    <xf numFmtId="4" fontId="25" fillId="0" borderId="0" xfId="0" applyNumberFormat="1" applyFont="1" applyBorder="1" applyAlignment="1">
      <alignment horizontal="center" vertical="center" wrapText="1"/>
    </xf>
    <xf numFmtId="0" fontId="41" fillId="0" borderId="0" xfId="0" applyFont="1" applyFill="1" applyBorder="1" applyAlignment="1">
      <alignment horizontal="right" vertical="center"/>
    </xf>
    <xf numFmtId="4" fontId="43" fillId="0" borderId="7" xfId="0" applyNumberFormat="1" applyFont="1" applyFill="1" applyBorder="1" applyAlignment="1">
      <alignment horizontal="right" vertical="center"/>
    </xf>
    <xf numFmtId="4" fontId="43" fillId="0" borderId="5" xfId="0" applyNumberFormat="1" applyFont="1" applyFill="1" applyBorder="1" applyAlignment="1">
      <alignment horizontal="right" vertical="center"/>
    </xf>
    <xf numFmtId="3" fontId="8" fillId="0" borderId="0" xfId="8" applyNumberFormat="1" applyFont="1" applyFill="1" applyAlignment="1">
      <alignment horizontal="center"/>
    </xf>
    <xf numFmtId="0" fontId="6" fillId="0" borderId="0" xfId="8"/>
    <xf numFmtId="3" fontId="15" fillId="0" borderId="0" xfId="8" applyNumberFormat="1" applyFont="1" applyFill="1" applyAlignment="1">
      <alignment horizontal="center"/>
    </xf>
    <xf numFmtId="0" fontId="37" fillId="4" borderId="8" xfId="8" applyFont="1" applyFill="1" applyBorder="1"/>
    <xf numFmtId="1" fontId="24" fillId="5" borderId="8" xfId="8" applyNumberFormat="1" applyFont="1" applyFill="1" applyBorder="1" applyAlignment="1">
      <alignment horizontal="center"/>
    </xf>
    <xf numFmtId="0" fontId="24" fillId="0" borderId="8" xfId="8" applyFont="1" applyFill="1" applyBorder="1" applyAlignment="1">
      <alignment horizontal="center"/>
    </xf>
    <xf numFmtId="0" fontId="24" fillId="5" borderId="10" xfId="8" applyFont="1" applyFill="1" applyBorder="1" applyAlignment="1">
      <alignment horizontal="center"/>
    </xf>
    <xf numFmtId="0" fontId="24" fillId="0" borderId="8" xfId="8" applyFont="1" applyBorder="1" applyAlignment="1">
      <alignment horizontal="center"/>
    </xf>
    <xf numFmtId="0" fontId="24" fillId="6" borderId="8" xfId="8" applyFont="1" applyFill="1" applyBorder="1" applyAlignment="1">
      <alignment horizontal="center"/>
    </xf>
    <xf numFmtId="0" fontId="24" fillId="6" borderId="10" xfId="8" applyFont="1" applyFill="1" applyBorder="1" applyAlignment="1">
      <alignment horizontal="center"/>
    </xf>
    <xf numFmtId="0" fontId="24" fillId="0" borderId="10" xfId="8" applyFont="1" applyBorder="1" applyAlignment="1">
      <alignment horizontal="center"/>
    </xf>
    <xf numFmtId="0" fontId="62" fillId="0" borderId="12" xfId="8" applyFont="1" applyBorder="1"/>
    <xf numFmtId="4" fontId="62" fillId="5" borderId="12" xfId="8" applyNumberFormat="1" applyFont="1" applyFill="1" applyBorder="1"/>
    <xf numFmtId="10" fontId="62" fillId="0" borderId="12" xfId="10" applyNumberFormat="1" applyFont="1" applyFill="1" applyBorder="1"/>
    <xf numFmtId="10" fontId="62" fillId="0" borderId="13" xfId="10" applyNumberFormat="1" applyFont="1" applyFill="1" applyBorder="1"/>
    <xf numFmtId="4" fontId="62" fillId="5" borderId="10" xfId="8" applyNumberFormat="1" applyFont="1" applyFill="1" applyBorder="1"/>
    <xf numFmtId="10" fontId="62" fillId="0" borderId="6" xfId="8" applyNumberFormat="1" applyFont="1" applyBorder="1"/>
    <xf numFmtId="4" fontId="62" fillId="6" borderId="14" xfId="8" applyNumberFormat="1" applyFont="1" applyFill="1" applyBorder="1"/>
    <xf numFmtId="10" fontId="62" fillId="0" borderId="14" xfId="8" applyNumberFormat="1" applyFont="1" applyBorder="1"/>
    <xf numFmtId="10" fontId="62" fillId="0" borderId="10" xfId="8" applyNumberFormat="1" applyFont="1" applyBorder="1"/>
    <xf numFmtId="10" fontId="62" fillId="0" borderId="0" xfId="8" applyNumberFormat="1" applyFont="1" applyBorder="1"/>
    <xf numFmtId="4" fontId="62" fillId="6" borderId="13" xfId="8" applyNumberFormat="1" applyFont="1" applyFill="1" applyBorder="1"/>
    <xf numFmtId="10" fontId="62" fillId="0" borderId="13" xfId="8" applyNumberFormat="1" applyFont="1" applyBorder="1"/>
    <xf numFmtId="10" fontId="62" fillId="0" borderId="12" xfId="8" applyNumberFormat="1" applyFont="1" applyBorder="1"/>
    <xf numFmtId="4" fontId="62" fillId="6" borderId="12" xfId="8" applyNumberFormat="1" applyFont="1" applyFill="1" applyBorder="1"/>
    <xf numFmtId="4" fontId="62" fillId="5" borderId="11" xfId="8" applyNumberFormat="1" applyFont="1" applyFill="1" applyBorder="1"/>
    <xf numFmtId="10" fontId="62" fillId="0" borderId="7" xfId="8" applyNumberFormat="1" applyFont="1" applyBorder="1"/>
    <xf numFmtId="4" fontId="62" fillId="6" borderId="15" xfId="8" applyNumberFormat="1" applyFont="1" applyFill="1" applyBorder="1"/>
    <xf numFmtId="10" fontId="62" fillId="0" borderId="15" xfId="8" applyNumberFormat="1" applyFont="1" applyBorder="1"/>
    <xf numFmtId="10" fontId="62" fillId="0" borderId="11" xfId="8" applyNumberFormat="1" applyFont="1" applyBorder="1"/>
    <xf numFmtId="0" fontId="24" fillId="0" borderId="8" xfId="8" applyFont="1" applyBorder="1"/>
    <xf numFmtId="4" fontId="24" fillId="5" borderId="8" xfId="8" applyNumberFormat="1" applyFont="1" applyFill="1" applyBorder="1"/>
    <xf numFmtId="10" fontId="24" fillId="0" borderId="8" xfId="10" applyNumberFormat="1" applyFont="1" applyFill="1" applyBorder="1"/>
    <xf numFmtId="4" fontId="24" fillId="5" borderId="12" xfId="8" applyNumberFormat="1" applyFont="1" applyFill="1" applyBorder="1"/>
    <xf numFmtId="10" fontId="24" fillId="0" borderId="8" xfId="8" applyNumberFormat="1" applyFont="1" applyBorder="1"/>
    <xf numFmtId="4" fontId="24" fillId="6" borderId="12" xfId="8" applyNumberFormat="1" applyFont="1" applyFill="1" applyBorder="1"/>
    <xf numFmtId="10" fontId="24" fillId="0" borderId="0" xfId="8" applyNumberFormat="1" applyFont="1" applyBorder="1"/>
    <xf numFmtId="4" fontId="24" fillId="5" borderId="11" xfId="8" applyNumberFormat="1" applyFont="1" applyFill="1" applyBorder="1"/>
    <xf numFmtId="4" fontId="24" fillId="6" borderId="11" xfId="8" applyNumberFormat="1" applyFont="1" applyFill="1" applyBorder="1"/>
    <xf numFmtId="10" fontId="24" fillId="0" borderId="10" xfId="8" applyNumberFormat="1" applyFont="1" applyBorder="1"/>
    <xf numFmtId="4" fontId="24" fillId="6" borderId="8" xfId="8" applyNumberFormat="1" applyFont="1" applyFill="1" applyBorder="1"/>
    <xf numFmtId="0" fontId="62" fillId="0" borderId="0" xfId="8" applyFont="1" applyAlignment="1"/>
    <xf numFmtId="4" fontId="62" fillId="0" borderId="0" xfId="8" applyNumberFormat="1" applyFont="1" applyFill="1" applyAlignment="1"/>
    <xf numFmtId="4" fontId="62" fillId="0" borderId="0" xfId="8" applyNumberFormat="1" applyFont="1" applyAlignment="1"/>
    <xf numFmtId="4" fontId="62" fillId="0" borderId="0" xfId="8" applyNumberFormat="1" applyFont="1"/>
    <xf numFmtId="0" fontId="62" fillId="0" borderId="0" xfId="8" applyFont="1"/>
    <xf numFmtId="0" fontId="62" fillId="0" borderId="14" xfId="8" applyFont="1" applyBorder="1" applyAlignment="1"/>
    <xf numFmtId="4" fontId="62" fillId="5" borderId="10" xfId="8" applyNumberFormat="1" applyFont="1" applyFill="1" applyBorder="1" applyAlignment="1"/>
    <xf numFmtId="4" fontId="62" fillId="0" borderId="6" xfId="8" applyNumberFormat="1" applyFont="1" applyFill="1" applyBorder="1" applyAlignment="1"/>
    <xf numFmtId="4" fontId="62" fillId="0" borderId="16" xfId="8" applyNumberFormat="1" applyFont="1" applyFill="1" applyBorder="1" applyAlignment="1"/>
    <xf numFmtId="4" fontId="62" fillId="0" borderId="6" xfId="8" applyNumberFormat="1" applyFont="1" applyBorder="1"/>
    <xf numFmtId="4" fontId="62" fillId="6" borderId="10" xfId="8" applyNumberFormat="1" applyFont="1" applyFill="1" applyBorder="1"/>
    <xf numFmtId="0" fontId="62" fillId="0" borderId="6" xfId="8" applyFont="1" applyBorder="1"/>
    <xf numFmtId="0" fontId="62" fillId="0" borderId="16" xfId="8" applyFont="1" applyBorder="1"/>
    <xf numFmtId="0" fontId="62" fillId="0" borderId="13" xfId="8" applyFont="1" applyBorder="1" applyAlignment="1"/>
    <xf numFmtId="4" fontId="62" fillId="5" borderId="11" xfId="8" applyNumberFormat="1" applyFont="1" applyFill="1" applyBorder="1" applyAlignment="1"/>
    <xf numFmtId="4" fontId="62" fillId="0" borderId="7" xfId="8" applyNumberFormat="1" applyFont="1" applyFill="1" applyBorder="1" applyAlignment="1"/>
    <xf numFmtId="4" fontId="62" fillId="0" borderId="17" xfId="8" applyNumberFormat="1" applyFont="1" applyFill="1" applyBorder="1" applyAlignment="1"/>
    <xf numFmtId="4" fontId="62" fillId="0" borderId="7" xfId="8" applyNumberFormat="1" applyFont="1" applyBorder="1"/>
    <xf numFmtId="4" fontId="62" fillId="6" borderId="11" xfId="8" applyNumberFormat="1" applyFont="1" applyFill="1" applyBorder="1"/>
    <xf numFmtId="0" fontId="62" fillId="0" borderId="7" xfId="8" applyFont="1" applyBorder="1"/>
    <xf numFmtId="0" fontId="62" fillId="0" borderId="17" xfId="8" applyFont="1" applyBorder="1"/>
    <xf numFmtId="0" fontId="24" fillId="0" borderId="8" xfId="8" applyFont="1" applyBorder="1" applyAlignment="1"/>
    <xf numFmtId="4" fontId="24" fillId="5" borderId="15" xfId="8" applyNumberFormat="1" applyFont="1" applyFill="1" applyBorder="1" applyAlignment="1"/>
    <xf numFmtId="4" fontId="24" fillId="0" borderId="9" xfId="8" applyNumberFormat="1" applyFont="1" applyFill="1" applyBorder="1" applyAlignment="1"/>
    <xf numFmtId="4" fontId="24" fillId="5" borderId="1" xfId="8" applyNumberFormat="1" applyFont="1" applyFill="1" applyBorder="1" applyAlignment="1"/>
    <xf numFmtId="4" fontId="62" fillId="0" borderId="9" xfId="8" applyNumberFormat="1" applyFont="1" applyBorder="1"/>
    <xf numFmtId="0" fontId="62" fillId="0" borderId="8" xfId="8" applyFont="1" applyBorder="1"/>
    <xf numFmtId="0" fontId="6" fillId="0" borderId="0" xfId="8" applyAlignment="1"/>
    <xf numFmtId="4" fontId="24" fillId="5" borderId="1" xfId="8" applyNumberFormat="1" applyFont="1" applyFill="1" applyBorder="1"/>
    <xf numFmtId="4" fontId="62" fillId="0" borderId="8" xfId="8" applyNumberFormat="1" applyFont="1" applyBorder="1"/>
    <xf numFmtId="169" fontId="62" fillId="0" borderId="0" xfId="8" applyNumberFormat="1" applyFont="1" applyFill="1" applyAlignment="1"/>
    <xf numFmtId="0" fontId="62" fillId="0" borderId="0" xfId="8" applyFont="1" applyFill="1" applyAlignment="1"/>
    <xf numFmtId="169" fontId="62" fillId="0" borderId="0" xfId="8" applyNumberFormat="1" applyFont="1" applyFill="1"/>
    <xf numFmtId="0" fontId="62" fillId="0" borderId="0" xfId="8" applyFont="1" applyFill="1"/>
    <xf numFmtId="3" fontId="24" fillId="5" borderId="8" xfId="8" applyNumberFormat="1" applyFont="1" applyFill="1" applyBorder="1" applyAlignment="1">
      <alignment horizontal="center"/>
    </xf>
    <xf numFmtId="10" fontId="62" fillId="0" borderId="10" xfId="10" applyNumberFormat="1" applyFont="1" applyFill="1" applyBorder="1"/>
    <xf numFmtId="10" fontId="62" fillId="0" borderId="14" xfId="10" applyNumberFormat="1" applyFont="1" applyFill="1" applyBorder="1"/>
    <xf numFmtId="10" fontId="62" fillId="0" borderId="11" xfId="10" applyNumberFormat="1" applyFont="1" applyFill="1" applyBorder="1"/>
    <xf numFmtId="10" fontId="62" fillId="0" borderId="15" xfId="10" applyNumberFormat="1" applyFont="1" applyFill="1" applyBorder="1"/>
    <xf numFmtId="4" fontId="24" fillId="5" borderId="8" xfId="10" applyNumberFormat="1" applyFont="1" applyFill="1" applyBorder="1"/>
    <xf numFmtId="10" fontId="24" fillId="0" borderId="12" xfId="10" applyNumberFormat="1" applyFont="1" applyFill="1" applyBorder="1"/>
    <xf numFmtId="10" fontId="24" fillId="0" borderId="12" xfId="8" applyNumberFormat="1" applyFont="1" applyBorder="1"/>
    <xf numFmtId="10" fontId="24" fillId="0" borderId="11" xfId="8" applyNumberFormat="1" applyFont="1" applyBorder="1"/>
    <xf numFmtId="4" fontId="62" fillId="0" borderId="0" xfId="8" applyNumberFormat="1" applyFont="1" applyFill="1"/>
    <xf numFmtId="0" fontId="62" fillId="0" borderId="10" xfId="8" applyFont="1" applyBorder="1" applyAlignment="1"/>
    <xf numFmtId="4" fontId="62" fillId="0" borderId="16" xfId="8" applyNumberFormat="1" applyFont="1" applyFill="1" applyBorder="1" applyAlignment="1">
      <alignment horizontal="center"/>
    </xf>
    <xf numFmtId="4" fontId="62" fillId="0" borderId="16" xfId="8" applyNumberFormat="1" applyFont="1" applyBorder="1"/>
    <xf numFmtId="4" fontId="62" fillId="0" borderId="10" xfId="8" applyNumberFormat="1" applyFont="1" applyBorder="1"/>
    <xf numFmtId="0" fontId="62" fillId="0" borderId="14" xfId="8" applyFont="1" applyBorder="1"/>
    <xf numFmtId="0" fontId="62" fillId="0" borderId="11" xfId="8" applyFont="1" applyBorder="1" applyAlignment="1"/>
    <xf numFmtId="4" fontId="62" fillId="0" borderId="17" xfId="8" applyNumberFormat="1" applyFont="1" applyFill="1" applyBorder="1" applyAlignment="1">
      <alignment horizontal="center"/>
    </xf>
    <xf numFmtId="4" fontId="62" fillId="0" borderId="17" xfId="8" applyNumberFormat="1" applyFont="1" applyBorder="1"/>
    <xf numFmtId="4" fontId="62" fillId="0" borderId="11" xfId="8" applyNumberFormat="1" applyFont="1" applyBorder="1"/>
    <xf numFmtId="0" fontId="62" fillId="0" borderId="15" xfId="8" applyFont="1" applyBorder="1"/>
    <xf numFmtId="4" fontId="24" fillId="5" borderId="8" xfId="8" applyNumberFormat="1" applyFont="1" applyFill="1" applyBorder="1" applyAlignment="1"/>
    <xf numFmtId="4" fontId="24" fillId="0" borderId="9" xfId="8" applyNumberFormat="1" applyFont="1" applyFill="1" applyBorder="1" applyAlignment="1">
      <alignment horizontal="center"/>
    </xf>
    <xf numFmtId="4" fontId="24" fillId="0" borderId="8" xfId="8" applyNumberFormat="1" applyFont="1" applyFill="1" applyBorder="1" applyAlignment="1"/>
    <xf numFmtId="4" fontId="62" fillId="0" borderId="8" xfId="8" applyNumberFormat="1" applyFont="1" applyFill="1" applyBorder="1" applyAlignment="1">
      <alignment horizontal="center"/>
    </xf>
    <xf numFmtId="169" fontId="62" fillId="0" borderId="0" xfId="8" applyNumberFormat="1" applyFont="1"/>
    <xf numFmtId="3" fontId="6" fillId="0" borderId="0" xfId="8" applyNumberFormat="1"/>
    <xf numFmtId="3" fontId="37" fillId="0" borderId="0" xfId="8" applyNumberFormat="1" applyFont="1"/>
    <xf numFmtId="1" fontId="37" fillId="0" borderId="8" xfId="8" applyNumberFormat="1" applyFont="1" applyBorder="1" applyAlignment="1">
      <alignment horizontal="center"/>
    </xf>
    <xf numFmtId="3" fontId="37" fillId="0" borderId="14" xfId="8" applyNumberFormat="1" applyFont="1" applyBorder="1"/>
    <xf numFmtId="4" fontId="6" fillId="0" borderId="6" xfId="8" applyNumberFormat="1" applyBorder="1"/>
    <xf numFmtId="4" fontId="6" fillId="0" borderId="16" xfId="8" applyNumberFormat="1" applyBorder="1"/>
    <xf numFmtId="3" fontId="37" fillId="0" borderId="13" xfId="8" applyNumberFormat="1" applyFont="1" applyBorder="1"/>
    <xf numFmtId="4" fontId="6" fillId="0" borderId="0" xfId="8" applyNumberFormat="1" applyBorder="1"/>
    <xf numFmtId="4" fontId="6" fillId="0" borderId="18" xfId="8" applyNumberFormat="1" applyBorder="1"/>
    <xf numFmtId="3" fontId="37" fillId="4" borderId="13" xfId="8" applyNumberFormat="1" applyFont="1" applyFill="1" applyBorder="1"/>
    <xf numFmtId="4" fontId="6" fillId="4" borderId="0" xfId="8" applyNumberFormat="1" applyFill="1" applyBorder="1"/>
    <xf numFmtId="4" fontId="6" fillId="4" borderId="18" xfId="8" applyNumberFormat="1" applyFill="1" applyBorder="1"/>
    <xf numFmtId="10" fontId="6" fillId="4" borderId="0" xfId="10" applyNumberFormat="1" applyFill="1" applyBorder="1"/>
    <xf numFmtId="10" fontId="6" fillId="4" borderId="18" xfId="10" applyNumberFormat="1" applyFill="1" applyBorder="1"/>
    <xf numFmtId="3" fontId="37" fillId="0" borderId="15" xfId="8" applyNumberFormat="1" applyFont="1" applyBorder="1"/>
    <xf numFmtId="10" fontId="6" fillId="0" borderId="7" xfId="10" applyNumberFormat="1" applyBorder="1"/>
    <xf numFmtId="10" fontId="6" fillId="0" borderId="17" xfId="10" applyNumberFormat="1" applyBorder="1"/>
    <xf numFmtId="3" fontId="37" fillId="4" borderId="15" xfId="8" applyNumberFormat="1" applyFont="1" applyFill="1" applyBorder="1"/>
    <xf numFmtId="10" fontId="6" fillId="4" borderId="7" xfId="10" applyNumberFormat="1" applyFill="1" applyBorder="1"/>
    <xf numFmtId="10" fontId="6" fillId="4" borderId="17" xfId="10" applyNumberFormat="1" applyFill="1" applyBorder="1"/>
    <xf numFmtId="4" fontId="6" fillId="0" borderId="7" xfId="8" applyNumberFormat="1" applyBorder="1"/>
    <xf numFmtId="4" fontId="6" fillId="0" borderId="17" xfId="8" applyNumberFormat="1" applyBorder="1"/>
    <xf numFmtId="169" fontId="6" fillId="0" borderId="0" xfId="8" applyNumberFormat="1"/>
    <xf numFmtId="4" fontId="6" fillId="0" borderId="0" xfId="8" applyNumberFormat="1"/>
    <xf numFmtId="4" fontId="50" fillId="0" borderId="0" xfId="0" applyNumberFormat="1" applyFont="1" applyBorder="1"/>
    <xf numFmtId="4" fontId="43" fillId="0" borderId="0" xfId="0" applyNumberFormat="1" applyFont="1" applyFill="1" applyBorder="1" applyAlignment="1">
      <alignment horizontal="right" vertical="center"/>
    </xf>
    <xf numFmtId="0" fontId="6" fillId="0" borderId="8" xfId="8" applyBorder="1"/>
    <xf numFmtId="0" fontId="6" fillId="0" borderId="11" xfId="8" applyBorder="1"/>
    <xf numFmtId="0" fontId="6" fillId="0" borderId="10" xfId="8" applyBorder="1"/>
    <xf numFmtId="4" fontId="6" fillId="0" borderId="18" xfId="8" applyNumberFormat="1" applyFill="1" applyBorder="1"/>
    <xf numFmtId="164" fontId="43" fillId="0" borderId="7" xfId="4" applyFont="1" applyBorder="1" applyAlignment="1">
      <alignment vertical="center"/>
    </xf>
    <xf numFmtId="164" fontId="43" fillId="0" borderId="5" xfId="4" applyFont="1" applyBorder="1" applyAlignment="1">
      <alignment vertical="center"/>
    </xf>
    <xf numFmtId="164" fontId="43" fillId="0" borderId="5" xfId="4" applyFont="1" applyBorder="1" applyAlignment="1">
      <alignment horizontal="right" vertical="center"/>
    </xf>
    <xf numFmtId="164" fontId="43" fillId="0" borderId="0" xfId="4" applyFont="1" applyAlignment="1">
      <alignment vertical="center"/>
    </xf>
    <xf numFmtId="164" fontId="43" fillId="0" borderId="6" xfId="4" applyFont="1" applyBorder="1" applyAlignment="1">
      <alignment horizontal="right" vertical="center"/>
    </xf>
    <xf numFmtId="164" fontId="43" fillId="0" borderId="2" xfId="4" applyFont="1" applyBorder="1"/>
    <xf numFmtId="164" fontId="43" fillId="0" borderId="0" xfId="4" applyFont="1" applyBorder="1"/>
    <xf numFmtId="164" fontId="43" fillId="0" borderId="0" xfId="4" applyFont="1" applyAlignment="1">
      <alignment horizontal="right"/>
    </xf>
    <xf numFmtId="164" fontId="43" fillId="0" borderId="0" xfId="4" applyFont="1"/>
    <xf numFmtId="164" fontId="18" fillId="2" borderId="4" xfId="4" applyFont="1" applyFill="1" applyBorder="1" applyAlignment="1">
      <alignment vertical="center"/>
    </xf>
    <xf numFmtId="164" fontId="43" fillId="0" borderId="7" xfId="4" applyFont="1" applyBorder="1" applyAlignment="1">
      <alignment horizontal="right" vertical="center"/>
    </xf>
    <xf numFmtId="4" fontId="6" fillId="0" borderId="0" xfId="8" applyNumberFormat="1" applyFill="1" applyBorder="1"/>
    <xf numFmtId="164" fontId="43" fillId="0" borderId="0" xfId="0" applyNumberFormat="1" applyFont="1"/>
    <xf numFmtId="0" fontId="43" fillId="0" borderId="8" xfId="0" applyFont="1" applyBorder="1"/>
    <xf numFmtId="4" fontId="43" fillId="0" borderId="8" xfId="0" applyNumberFormat="1" applyFont="1" applyBorder="1"/>
    <xf numFmtId="0" fontId="43" fillId="0" borderId="8" xfId="0" applyFont="1" applyBorder="1" applyAlignment="1">
      <alignment wrapText="1"/>
    </xf>
    <xf numFmtId="4" fontId="43" fillId="0" borderId="8" xfId="0" quotePrefix="1" applyNumberFormat="1" applyFont="1" applyBorder="1" applyAlignment="1">
      <alignment horizontal="center"/>
    </xf>
    <xf numFmtId="0" fontId="43" fillId="0" borderId="8" xfId="0" quotePrefix="1" applyFont="1" applyBorder="1" applyAlignment="1">
      <alignment horizontal="center"/>
    </xf>
    <xf numFmtId="4" fontId="43" fillId="0" borderId="19" xfId="0" applyNumberFormat="1" applyFont="1" applyBorder="1"/>
    <xf numFmtId="4" fontId="43" fillId="0" borderId="12" xfId="0" applyNumberFormat="1" applyFont="1" applyBorder="1"/>
    <xf numFmtId="0" fontId="43" fillId="0" borderId="10" xfId="0" applyFont="1" applyBorder="1"/>
    <xf numFmtId="4" fontId="43" fillId="0" borderId="10" xfId="0" applyNumberFormat="1" applyFont="1" applyBorder="1"/>
    <xf numFmtId="0" fontId="43" fillId="0" borderId="10" xfId="0" quotePrefix="1" applyFont="1" applyBorder="1" applyAlignment="1">
      <alignment horizontal="center"/>
    </xf>
    <xf numFmtId="0" fontId="43" fillId="0" borderId="20" xfId="0" applyFont="1" applyBorder="1"/>
    <xf numFmtId="4" fontId="43" fillId="0" borderId="20" xfId="0" applyNumberFormat="1" applyFont="1" applyBorder="1"/>
    <xf numFmtId="0" fontId="43" fillId="0" borderId="20" xfId="0" quotePrefix="1" applyFont="1" applyBorder="1" applyAlignment="1">
      <alignment horizontal="center"/>
    </xf>
    <xf numFmtId="0" fontId="18" fillId="2" borderId="21" xfId="0" applyFont="1" applyFill="1" applyBorder="1" applyAlignment="1">
      <alignment vertical="center"/>
    </xf>
    <xf numFmtId="4" fontId="18" fillId="2" borderId="21" xfId="0" applyNumberFormat="1" applyFont="1" applyFill="1" applyBorder="1" applyAlignment="1">
      <alignment vertical="center"/>
    </xf>
    <xf numFmtId="4" fontId="43" fillId="0" borderId="0" xfId="0" applyNumberFormat="1" applyFont="1"/>
    <xf numFmtId="1" fontId="0" fillId="0" borderId="0" xfId="0" applyNumberFormat="1"/>
    <xf numFmtId="0" fontId="6" fillId="0" borderId="0" xfId="0" applyFont="1"/>
    <xf numFmtId="4" fontId="19" fillId="0" borderId="0" xfId="5" applyNumberFormat="1" applyFont="1" applyBorder="1" applyAlignment="1">
      <alignment horizontal="center"/>
    </xf>
    <xf numFmtId="168" fontId="19" fillId="0" borderId="0" xfId="5" applyNumberFormat="1" applyFont="1" applyBorder="1" applyAlignment="1">
      <alignment horizontal="center"/>
    </xf>
    <xf numFmtId="4" fontId="41" fillId="0" borderId="0" xfId="5" applyNumberFormat="1" applyFont="1" applyBorder="1" applyAlignment="1">
      <alignment horizontal="center"/>
    </xf>
    <xf numFmtId="167" fontId="43" fillId="0" borderId="0" xfId="5" applyNumberFormat="1" applyFont="1" applyAlignment="1">
      <alignment horizontal="right"/>
    </xf>
    <xf numFmtId="2" fontId="43" fillId="0" borderId="0" xfId="0" applyNumberFormat="1" applyFont="1" applyAlignment="1">
      <alignment horizontal="center"/>
    </xf>
    <xf numFmtId="167" fontId="41" fillId="0" borderId="0" xfId="5" applyNumberFormat="1" applyFont="1" applyBorder="1" applyAlignment="1">
      <alignment horizontal="center"/>
    </xf>
    <xf numFmtId="4" fontId="41" fillId="0" borderId="3" xfId="6" applyNumberFormat="1" applyFont="1" applyBorder="1"/>
    <xf numFmtId="4" fontId="50" fillId="0" borderId="3" xfId="0" applyNumberFormat="1" applyFont="1" applyBorder="1"/>
    <xf numFmtId="4" fontId="41" fillId="0" borderId="3" xfId="0" applyNumberFormat="1" applyFont="1" applyFill="1" applyBorder="1"/>
    <xf numFmtId="0" fontId="0" fillId="0" borderId="6" xfId="0" applyBorder="1"/>
    <xf numFmtId="4" fontId="24" fillId="0" borderId="10" xfId="8" applyNumberFormat="1" applyFont="1" applyBorder="1"/>
    <xf numFmtId="4" fontId="43" fillId="0" borderId="6" xfId="0" applyNumberFormat="1" applyFont="1" applyFill="1" applyBorder="1" applyAlignment="1">
      <alignment horizontal="right" vertical="center"/>
    </xf>
    <xf numFmtId="0" fontId="63" fillId="0" borderId="0" xfId="13" applyFont="1"/>
    <xf numFmtId="4" fontId="63" fillId="0" borderId="1" xfId="17" applyNumberFormat="1" applyFont="1" applyBorder="1" applyAlignment="1">
      <alignment horizontal="center"/>
    </xf>
    <xf numFmtId="3" fontId="48" fillId="0" borderId="0" xfId="0" applyNumberFormat="1" applyFont="1"/>
    <xf numFmtId="4" fontId="48" fillId="0" borderId="0" xfId="7" applyNumberFormat="1" applyFont="1" applyBorder="1" applyAlignment="1">
      <alignment horizontal="right" vertical="center"/>
    </xf>
    <xf numFmtId="4" fontId="48" fillId="0" borderId="0" xfId="7" applyNumberFormat="1" applyFont="1" applyFill="1" applyBorder="1" applyAlignment="1">
      <alignment horizontal="right" vertical="center"/>
    </xf>
    <xf numFmtId="4" fontId="18" fillId="2" borderId="0" xfId="6" applyNumberFormat="1" applyFont="1" applyFill="1" applyAlignment="1">
      <alignment horizontal="right" vertical="center"/>
    </xf>
    <xf numFmtId="0" fontId="18" fillId="2" borderId="0" xfId="0" applyFont="1" applyFill="1" applyBorder="1" applyAlignment="1">
      <alignment horizontal="right" vertical="center"/>
    </xf>
    <xf numFmtId="4" fontId="48" fillId="0" borderId="0" xfId="0" applyNumberFormat="1" applyFont="1" applyBorder="1" applyAlignment="1">
      <alignment horizontal="justify" vertical="center" wrapText="1"/>
    </xf>
    <xf numFmtId="0" fontId="19" fillId="0" borderId="14" xfId="0" applyFont="1" applyBorder="1" applyAlignment="1" applyProtection="1">
      <protection locked="0"/>
    </xf>
    <xf numFmtId="0" fontId="0" fillId="0" borderId="6" xfId="0" applyBorder="1" applyAlignment="1"/>
    <xf numFmtId="0" fontId="25" fillId="0" borderId="0" xfId="0" applyFont="1" applyAlignment="1"/>
    <xf numFmtId="0" fontId="14" fillId="0" borderId="0" xfId="0" applyFont="1" applyAlignment="1"/>
    <xf numFmtId="0" fontId="25" fillId="0" borderId="0" xfId="0" applyFont="1" applyBorder="1" applyAlignment="1"/>
    <xf numFmtId="1" fontId="25" fillId="0" borderId="0" xfId="4" applyNumberFormat="1" applyFont="1" applyAlignment="1"/>
    <xf numFmtId="10" fontId="25" fillId="0" borderId="0" xfId="0" applyNumberFormat="1" applyFont="1" applyBorder="1" applyAlignment="1">
      <alignment horizontal="center"/>
    </xf>
    <xf numFmtId="164" fontId="63" fillId="0" borderId="0" xfId="14" applyNumberFormat="1" applyFont="1" applyAlignment="1"/>
    <xf numFmtId="0" fontId="63" fillId="0" borderId="22" xfId="16" applyFont="1" applyBorder="1" applyAlignment="1">
      <alignment horizontal="center"/>
    </xf>
    <xf numFmtId="164" fontId="1" fillId="0" borderId="8" xfId="17" applyNumberFormat="1" applyFont="1" applyBorder="1" applyAlignment="1"/>
    <xf numFmtId="4" fontId="63" fillId="0" borderId="8" xfId="17" applyNumberFormat="1" applyFont="1" applyBorder="1" applyAlignment="1"/>
    <xf numFmtId="4" fontId="63" fillId="0" borderId="0" xfId="16" quotePrefix="1" applyNumberFormat="1" applyFont="1" applyFill="1" applyBorder="1" applyAlignment="1">
      <alignment horizontal="center"/>
    </xf>
    <xf numFmtId="4" fontId="63" fillId="0" borderId="8" xfId="17" applyNumberFormat="1" applyFont="1" applyBorder="1" applyAlignment="1">
      <alignment horizontal="right"/>
    </xf>
    <xf numFmtId="0" fontId="68" fillId="0" borderId="0" xfId="0" applyFont="1"/>
    <xf numFmtId="0" fontId="63" fillId="0" borderId="0" xfId="16" applyFont="1" applyAlignment="1">
      <alignment horizontal="center"/>
    </xf>
    <xf numFmtId="164" fontId="63" fillId="0" borderId="0" xfId="17" applyNumberFormat="1" applyFont="1" applyAlignment="1"/>
    <xf numFmtId="164" fontId="63" fillId="8" borderId="0" xfId="17" applyNumberFormat="1" applyFont="1" applyFill="1" applyAlignment="1"/>
    <xf numFmtId="0" fontId="64" fillId="7" borderId="29" xfId="16" applyFont="1" applyFill="1" applyBorder="1" applyAlignment="1">
      <alignment horizontal="center"/>
    </xf>
    <xf numFmtId="164" fontId="64" fillId="7" borderId="27" xfId="17" applyNumberFormat="1" applyFont="1" applyFill="1" applyBorder="1" applyAlignment="1">
      <alignment horizontal="center"/>
    </xf>
    <xf numFmtId="164" fontId="64" fillId="7" borderId="26" xfId="17" applyNumberFormat="1" applyFont="1" applyFill="1" applyBorder="1" applyAlignment="1">
      <alignment horizontal="center"/>
    </xf>
    <xf numFmtId="0" fontId="63" fillId="0" borderId="25" xfId="16" applyFont="1" applyBorder="1" applyAlignment="1">
      <alignment horizontal="center"/>
    </xf>
    <xf numFmtId="4" fontId="63" fillId="0" borderId="8" xfId="16" applyNumberFormat="1" applyFont="1" applyBorder="1" applyAlignment="1">
      <alignment horizontal="center"/>
    </xf>
    <xf numFmtId="4" fontId="63" fillId="0" borderId="30" xfId="17" applyNumberFormat="1" applyFont="1" applyBorder="1" applyAlignment="1">
      <alignment horizontal="center"/>
    </xf>
    <xf numFmtId="4" fontId="63" fillId="0" borderId="31" xfId="17" applyNumberFormat="1" applyFont="1" applyBorder="1" applyAlignment="1">
      <alignment horizontal="center"/>
    </xf>
    <xf numFmtId="0" fontId="65" fillId="0" borderId="23" xfId="16" applyFont="1" applyBorder="1" applyAlignment="1">
      <alignment horizontal="center"/>
    </xf>
    <xf numFmtId="0" fontId="49" fillId="0" borderId="0" xfId="0" applyFont="1"/>
    <xf numFmtId="0" fontId="70" fillId="2" borderId="4" xfId="0" applyFont="1" applyFill="1" applyBorder="1" applyAlignment="1">
      <alignment horizontal="left" vertical="center" wrapText="1"/>
    </xf>
    <xf numFmtId="4" fontId="63" fillId="7" borderId="8" xfId="16" applyNumberFormat="1" applyFont="1" applyFill="1" applyBorder="1" applyAlignment="1">
      <alignment horizontal="center"/>
    </xf>
    <xf numFmtId="4" fontId="63" fillId="7" borderId="24" xfId="17" applyNumberFormat="1" applyFont="1" applyFill="1" applyBorder="1" applyAlignment="1">
      <alignment horizontal="center"/>
    </xf>
    <xf numFmtId="4" fontId="71" fillId="0" borderId="0" xfId="16" quotePrefix="1" applyNumberFormat="1" applyFont="1" applyFill="1" applyBorder="1" applyAlignment="1">
      <alignment horizontal="center"/>
    </xf>
    <xf numFmtId="0" fontId="65" fillId="0" borderId="8" xfId="16" applyFont="1" applyBorder="1" applyAlignment="1">
      <alignment horizontal="center"/>
    </xf>
    <xf numFmtId="4" fontId="63" fillId="0" borderId="8" xfId="16" applyNumberFormat="1" applyFont="1" applyBorder="1"/>
    <xf numFmtId="0" fontId="64" fillId="7" borderId="8" xfId="16" applyFont="1" applyFill="1" applyBorder="1" applyAlignment="1">
      <alignment horizontal="center"/>
    </xf>
    <xf numFmtId="164" fontId="64" fillId="7" borderId="8" xfId="14" applyNumberFormat="1" applyFont="1" applyFill="1" applyBorder="1" applyAlignment="1">
      <alignment horizontal="center"/>
    </xf>
    <xf numFmtId="164" fontId="67" fillId="7" borderId="8" xfId="17" applyNumberFormat="1" applyFont="1" applyFill="1" applyBorder="1" applyAlignment="1"/>
    <xf numFmtId="0" fontId="63" fillId="0" borderId="8" xfId="16" applyFont="1" applyBorder="1" applyAlignment="1">
      <alignment horizontal="center"/>
    </xf>
    <xf numFmtId="0" fontId="1" fillId="0" borderId="8" xfId="16" applyFont="1" applyBorder="1"/>
    <xf numFmtId="0" fontId="65" fillId="0" borderId="11" xfId="16" applyFont="1" applyBorder="1" applyAlignment="1">
      <alignment horizontal="center"/>
    </xf>
    <xf numFmtId="4" fontId="63" fillId="0" borderId="15" xfId="17" applyNumberFormat="1" applyFont="1" applyBorder="1" applyAlignment="1">
      <alignment horizontal="right"/>
    </xf>
    <xf numFmtId="4" fontId="63" fillId="0" borderId="11" xfId="17" applyNumberFormat="1" applyFont="1" applyBorder="1" applyAlignment="1"/>
    <xf numFmtId="4" fontId="63" fillId="0" borderId="11" xfId="17" applyNumberFormat="1" applyFont="1" applyBorder="1" applyAlignment="1">
      <alignment horizontal="right"/>
    </xf>
    <xf numFmtId="0" fontId="21" fillId="0" borderId="0" xfId="0" applyFont="1" applyBorder="1"/>
    <xf numFmtId="0" fontId="19" fillId="0" borderId="0" xfId="0" applyFont="1" applyBorder="1" applyAlignment="1">
      <alignment horizontal="left"/>
    </xf>
    <xf numFmtId="3" fontId="41" fillId="0" borderId="4" xfId="0" applyNumberFormat="1" applyFont="1" applyBorder="1" applyAlignment="1">
      <alignment horizontal="right"/>
    </xf>
    <xf numFmtId="4" fontId="41" fillId="0" borderId="4" xfId="0" applyNumberFormat="1" applyFont="1" applyBorder="1" applyAlignment="1">
      <alignment horizontal="right"/>
    </xf>
    <xf numFmtId="3" fontId="41" fillId="0" borderId="4" xfId="0" applyNumberFormat="1" applyFont="1" applyBorder="1" applyAlignment="1">
      <alignment horizontal="left"/>
    </xf>
    <xf numFmtId="3" fontId="41" fillId="2" borderId="4" xfId="0" applyNumberFormat="1" applyFont="1" applyFill="1" applyBorder="1" applyAlignment="1">
      <alignment horizontal="center" vertical="center" wrapText="1"/>
    </xf>
    <xf numFmtId="4" fontId="41" fillId="2" borderId="4" xfId="0" applyNumberFormat="1" applyFont="1" applyFill="1" applyBorder="1" applyAlignment="1">
      <alignment horizontal="right" vertical="center"/>
    </xf>
    <xf numFmtId="3" fontId="41" fillId="0" borderId="4" xfId="0" applyNumberFormat="1" applyFont="1" applyBorder="1" applyAlignment="1">
      <alignment horizontal="center" vertical="center" wrapText="1"/>
    </xf>
    <xf numFmtId="10" fontId="41" fillId="0" borderId="4" xfId="9" applyNumberFormat="1" applyFont="1" applyBorder="1" applyAlignment="1">
      <alignment horizontal="right" vertical="center"/>
    </xf>
    <xf numFmtId="3" fontId="0" fillId="0" borderId="0" xfId="0" applyNumberFormat="1" applyBorder="1"/>
    <xf numFmtId="164" fontId="64" fillId="8" borderId="8" xfId="14" applyNumberFormat="1" applyFont="1" applyFill="1" applyBorder="1" applyAlignment="1">
      <alignment horizontal="center"/>
    </xf>
    <xf numFmtId="164" fontId="64" fillId="8" borderId="28" xfId="17" applyNumberFormat="1" applyFont="1" applyFill="1" applyBorder="1" applyAlignment="1">
      <alignment horizontal="center"/>
    </xf>
    <xf numFmtId="0" fontId="19" fillId="0" borderId="0" xfId="0" applyFont="1" applyBorder="1" applyAlignment="1">
      <alignment horizontal="left"/>
    </xf>
    <xf numFmtId="4" fontId="48" fillId="0" borderId="0" xfId="0" applyNumberFormat="1" applyFont="1" applyBorder="1" applyAlignment="1">
      <alignment horizontal="justify" vertical="center" wrapText="1"/>
    </xf>
    <xf numFmtId="0" fontId="65" fillId="0" borderId="22" xfId="16" applyFont="1" applyBorder="1" applyAlignment="1">
      <alignment horizontal="center"/>
    </xf>
    <xf numFmtId="4" fontId="63" fillId="0" borderId="8" xfId="17" applyNumberFormat="1" applyFont="1" applyBorder="1" applyAlignment="1">
      <alignment horizontal="center"/>
    </xf>
    <xf numFmtId="0" fontId="48" fillId="0" borderId="0" xfId="0" applyNumberFormat="1" applyFont="1" applyBorder="1" applyAlignment="1">
      <alignment horizontal="left" vertical="center"/>
    </xf>
    <xf numFmtId="4" fontId="48" fillId="0" borderId="0" xfId="0" applyNumberFormat="1" applyFont="1" applyBorder="1" applyAlignment="1">
      <alignment horizontal="left" vertical="center"/>
    </xf>
    <xf numFmtId="0" fontId="19" fillId="0" borderId="0" xfId="0" applyFont="1" applyBorder="1" applyAlignment="1">
      <alignment horizontal="left"/>
    </xf>
    <xf numFmtId="4" fontId="48" fillId="0" borderId="0" xfId="0" applyNumberFormat="1" applyFont="1" applyBorder="1" applyAlignment="1">
      <alignment horizontal="justify" vertical="center" wrapText="1"/>
    </xf>
    <xf numFmtId="0" fontId="19" fillId="0" borderId="0" xfId="0" applyFont="1" applyBorder="1" applyAlignment="1">
      <alignment horizontal="left"/>
    </xf>
    <xf numFmtId="0" fontId="11" fillId="0" borderId="0" xfId="0" applyFont="1" applyBorder="1" applyAlignment="1">
      <alignment horizontal="center"/>
    </xf>
    <xf numFmtId="0" fontId="6" fillId="0" borderId="0" xfId="0" applyFont="1" applyBorder="1"/>
    <xf numFmtId="0" fontId="19" fillId="0" borderId="0" xfId="0" applyFont="1" applyBorder="1" applyAlignment="1">
      <alignment horizontal="center"/>
    </xf>
    <xf numFmtId="0" fontId="0" fillId="0" borderId="0" xfId="0" applyBorder="1" applyAlignment="1">
      <alignment horizontal="center"/>
    </xf>
    <xf numFmtId="4" fontId="0" fillId="0" borderId="0" xfId="0" applyNumberFormat="1" applyBorder="1" applyAlignment="1">
      <alignment horizontal="center"/>
    </xf>
    <xf numFmtId="4" fontId="10" fillId="0" borderId="0" xfId="0" applyNumberFormat="1" applyFont="1" applyBorder="1"/>
    <xf numFmtId="4" fontId="48" fillId="0" borderId="0" xfId="0" applyNumberFormat="1" applyFont="1" applyBorder="1" applyAlignment="1">
      <alignment horizontal="justify" vertical="center" wrapText="1"/>
    </xf>
    <xf numFmtId="0" fontId="19" fillId="0" borderId="0" xfId="0" applyFont="1" applyBorder="1" applyAlignment="1">
      <alignment horizontal="left"/>
    </xf>
    <xf numFmtId="0" fontId="19" fillId="0" borderId="0" xfId="0" applyFont="1" applyBorder="1" applyAlignment="1">
      <alignment horizontal="left"/>
    </xf>
    <xf numFmtId="0" fontId="19" fillId="0" borderId="0" xfId="0" applyFont="1" applyBorder="1" applyAlignment="1">
      <alignment horizontal="left"/>
    </xf>
    <xf numFmtId="0" fontId="6" fillId="8" borderId="0" xfId="0" applyFont="1" applyFill="1"/>
    <xf numFmtId="4" fontId="43" fillId="0" borderId="0" xfId="0" applyNumberFormat="1" applyFont="1" applyFill="1" applyBorder="1" applyAlignment="1">
      <alignment vertical="center"/>
    </xf>
    <xf numFmtId="0" fontId="58" fillId="8" borderId="0" xfId="0" applyFont="1" applyFill="1" applyBorder="1" applyAlignment="1">
      <alignment vertical="center"/>
    </xf>
    <xf numFmtId="4" fontId="58" fillId="8" borderId="0" xfId="0" applyNumberFormat="1" applyFont="1" applyFill="1" applyBorder="1" applyAlignment="1">
      <alignment vertical="center"/>
    </xf>
    <xf numFmtId="4" fontId="43" fillId="0" borderId="0" xfId="0" applyNumberFormat="1" applyFont="1" applyAlignment="1">
      <alignment horizontal="right"/>
    </xf>
    <xf numFmtId="0" fontId="19" fillId="0" borderId="0" xfId="0" applyFont="1" applyBorder="1" applyAlignment="1">
      <alignment horizontal="left"/>
    </xf>
    <xf numFmtId="0" fontId="37" fillId="0" borderId="0" xfId="0" applyFont="1"/>
    <xf numFmtId="0" fontId="41" fillId="0" borderId="7" xfId="0" applyFont="1" applyFill="1" applyBorder="1" applyAlignment="1">
      <alignment vertical="center"/>
    </xf>
    <xf numFmtId="4" fontId="41" fillId="0" borderId="7" xfId="0" applyNumberFormat="1" applyFont="1" applyFill="1" applyBorder="1" applyAlignment="1">
      <alignment vertical="center"/>
    </xf>
    <xf numFmtId="4" fontId="48" fillId="0" borderId="0" xfId="0" applyNumberFormat="1" applyFont="1" applyBorder="1" applyAlignment="1">
      <alignment horizontal="justify" vertical="center" wrapText="1"/>
    </xf>
    <xf numFmtId="0" fontId="41" fillId="0" borderId="0" xfId="0" applyFont="1" applyBorder="1" applyAlignment="1">
      <alignment vertical="center" wrapText="1"/>
    </xf>
    <xf numFmtId="4" fontId="48" fillId="0" borderId="0" xfId="0" applyNumberFormat="1" applyFont="1" applyBorder="1" applyAlignment="1">
      <alignment horizontal="justify" vertical="center" wrapText="1"/>
    </xf>
    <xf numFmtId="0" fontId="38" fillId="0" borderId="0" xfId="0" applyFont="1" applyAlignment="1">
      <alignment horizontal="center"/>
    </xf>
    <xf numFmtId="0" fontId="19" fillId="0" borderId="0" xfId="0" applyFont="1" applyBorder="1" applyAlignment="1">
      <alignment horizontal="left"/>
    </xf>
    <xf numFmtId="3" fontId="66" fillId="0" borderId="0" xfId="0" applyNumberFormat="1" applyFont="1" applyBorder="1" applyAlignment="1">
      <alignment horizontal="center"/>
    </xf>
    <xf numFmtId="0" fontId="0" fillId="0" borderId="0" xfId="0" applyAlignment="1">
      <alignment wrapText="1"/>
    </xf>
    <xf numFmtId="4" fontId="17" fillId="0" borderId="0" xfId="0" applyNumberFormat="1" applyFont="1"/>
    <xf numFmtId="4" fontId="63" fillId="0" borderId="10" xfId="17" applyNumberFormat="1" applyFont="1" applyBorder="1" applyAlignment="1">
      <alignment horizontal="center"/>
    </xf>
    <xf numFmtId="3" fontId="6" fillId="0" borderId="0" xfId="0" applyNumberFormat="1" applyFont="1"/>
    <xf numFmtId="10" fontId="0" fillId="0" borderId="0" xfId="0" applyNumberFormat="1"/>
    <xf numFmtId="0" fontId="19" fillId="0" borderId="0" xfId="0" applyFont="1" applyBorder="1" applyAlignment="1">
      <alignment horizontal="left"/>
    </xf>
    <xf numFmtId="0" fontId="0" fillId="0" borderId="0" xfId="0" applyBorder="1" applyAlignment="1">
      <alignment vertical="center" wrapText="1"/>
    </xf>
    <xf numFmtId="0" fontId="6" fillId="0" borderId="0" xfId="0" applyFont="1" applyAlignment="1"/>
    <xf numFmtId="4" fontId="48" fillId="0" borderId="0" xfId="0" applyNumberFormat="1" applyFont="1" applyBorder="1" applyAlignment="1">
      <alignment vertical="center"/>
    </xf>
    <xf numFmtId="4" fontId="25" fillId="0" borderId="2" xfId="0" applyNumberFormat="1" applyFont="1" applyBorder="1" applyAlignment="1">
      <alignment horizontal="center"/>
    </xf>
    <xf numFmtId="10" fontId="25" fillId="0" borderId="2" xfId="9" applyNumberFormat="1" applyFont="1" applyBorder="1" applyAlignment="1">
      <alignment horizontal="center"/>
    </xf>
    <xf numFmtId="9" fontId="41" fillId="0" borderId="2" xfId="9" applyFont="1" applyBorder="1"/>
    <xf numFmtId="0" fontId="48" fillId="0" borderId="2" xfId="0" applyFont="1" applyBorder="1"/>
    <xf numFmtId="0" fontId="10" fillId="0" borderId="2" xfId="0" applyFont="1" applyBorder="1"/>
    <xf numFmtId="0" fontId="9" fillId="0" borderId="2" xfId="0" applyFont="1" applyBorder="1"/>
    <xf numFmtId="0" fontId="25" fillId="0" borderId="2" xfId="0" applyFont="1" applyBorder="1" applyAlignment="1"/>
    <xf numFmtId="168" fontId="25" fillId="0" borderId="2" xfId="5" applyNumberFormat="1" applyFont="1" applyBorder="1" applyAlignment="1">
      <alignment horizontal="center"/>
    </xf>
    <xf numFmtId="4" fontId="48" fillId="0" borderId="2" xfId="0" applyNumberFormat="1" applyFont="1" applyBorder="1" applyAlignment="1">
      <alignment horizontal="justify" vertical="center" wrapText="1"/>
    </xf>
    <xf numFmtId="4" fontId="14" fillId="0" borderId="2" xfId="0" applyNumberFormat="1" applyFont="1" applyBorder="1" applyAlignment="1">
      <alignment horizontal="center"/>
    </xf>
    <xf numFmtId="0" fontId="38" fillId="0" borderId="0" xfId="0" applyFont="1" applyBorder="1" applyAlignment="1"/>
    <xf numFmtId="0" fontId="41" fillId="0" borderId="3" xfId="0" applyFont="1" applyFill="1" applyBorder="1"/>
    <xf numFmtId="0" fontId="47" fillId="0" borderId="0" xfId="0" applyFont="1" applyBorder="1" applyAlignment="1">
      <alignment vertical="center" wrapText="1"/>
    </xf>
    <xf numFmtId="0" fontId="19" fillId="0" borderId="0" xfId="0" applyFont="1" applyBorder="1" applyAlignment="1">
      <alignment horizontal="left"/>
    </xf>
    <xf numFmtId="0" fontId="69" fillId="0" borderId="0" xfId="0" applyFont="1" applyBorder="1" applyAlignment="1"/>
    <xf numFmtId="0" fontId="62" fillId="0" borderId="0" xfId="0" applyFont="1"/>
    <xf numFmtId="0" fontId="69" fillId="0" borderId="0" xfId="0" applyFont="1" applyBorder="1" applyAlignment="1">
      <alignment horizontal="left"/>
    </xf>
    <xf numFmtId="0" fontId="69" fillId="0" borderId="0" xfId="0" applyFont="1" applyBorder="1"/>
    <xf numFmtId="3" fontId="41" fillId="8" borderId="0" xfId="0" applyNumberFormat="1" applyFont="1" applyFill="1" applyBorder="1" applyAlignment="1">
      <alignment horizontal="left" vertical="center" wrapText="1"/>
    </xf>
    <xf numFmtId="0" fontId="38" fillId="0" borderId="0" xfId="0" applyFont="1" applyAlignment="1">
      <alignment vertical="center" wrapText="1"/>
    </xf>
    <xf numFmtId="3" fontId="66" fillId="0" borderId="0" xfId="0" applyNumberFormat="1" applyFont="1" applyBorder="1" applyAlignment="1"/>
    <xf numFmtId="3" fontId="43" fillId="0" borderId="0" xfId="0" applyNumberFormat="1" applyFont="1"/>
    <xf numFmtId="1" fontId="41" fillId="0" borderId="5" xfId="0" applyNumberFormat="1" applyFont="1" applyBorder="1" applyAlignment="1">
      <alignment horizontal="center"/>
    </xf>
    <xf numFmtId="1" fontId="41" fillId="0" borderId="5" xfId="0" applyNumberFormat="1" applyFont="1" applyBorder="1" applyAlignment="1">
      <alignment horizontal="right"/>
    </xf>
    <xf numFmtId="3" fontId="41" fillId="0" borderId="0" xfId="0" applyNumberFormat="1" applyFont="1"/>
    <xf numFmtId="4" fontId="43" fillId="0" borderId="0" xfId="0" applyNumberFormat="1" applyFont="1" applyBorder="1"/>
    <xf numFmtId="4" fontId="43" fillId="0" borderId="7" xfId="0" applyNumberFormat="1" applyFont="1" applyBorder="1"/>
    <xf numFmtId="1" fontId="41" fillId="0" borderId="0" xfId="0" applyNumberFormat="1" applyFont="1" applyBorder="1" applyAlignment="1">
      <alignment horizontal="center"/>
    </xf>
    <xf numFmtId="1" fontId="41" fillId="0" borderId="0" xfId="0" applyNumberFormat="1" applyFont="1" applyBorder="1" applyAlignment="1">
      <alignment horizontal="right"/>
    </xf>
    <xf numFmtId="1" fontId="41" fillId="0" borderId="32" xfId="0" applyNumberFormat="1" applyFont="1" applyBorder="1" applyAlignment="1">
      <alignment horizontal="center"/>
    </xf>
    <xf numFmtId="1" fontId="41" fillId="0" borderId="2" xfId="0" applyNumberFormat="1" applyFont="1" applyBorder="1" applyAlignment="1">
      <alignment horizontal="center"/>
    </xf>
    <xf numFmtId="1" fontId="41" fillId="0" borderId="2" xfId="0" applyNumberFormat="1" applyFont="1" applyBorder="1" applyAlignment="1">
      <alignment horizontal="right"/>
    </xf>
    <xf numFmtId="4" fontId="63" fillId="0" borderId="12" xfId="17" applyNumberFormat="1" applyFont="1" applyBorder="1" applyAlignment="1"/>
    <xf numFmtId="4" fontId="63" fillId="0" borderId="0" xfId="17" applyNumberFormat="1" applyFont="1" applyFill="1" applyBorder="1" applyAlignment="1"/>
    <xf numFmtId="4" fontId="63" fillId="0" borderId="17" xfId="17" applyNumberFormat="1" applyFont="1" applyBorder="1" applyAlignment="1">
      <alignment horizontal="right"/>
    </xf>
    <xf numFmtId="4" fontId="63" fillId="0" borderId="8" xfId="17" applyNumberFormat="1" applyFont="1" applyFill="1" applyBorder="1" applyAlignment="1">
      <alignment horizontal="right"/>
    </xf>
    <xf numFmtId="4" fontId="43" fillId="8" borderId="0" xfId="0" applyNumberFormat="1" applyFont="1" applyFill="1" applyAlignment="1">
      <alignment vertical="center"/>
    </xf>
    <xf numFmtId="0" fontId="12" fillId="0" borderId="0" xfId="0" applyFont="1" applyBorder="1" applyAlignment="1">
      <alignment horizontal="left"/>
    </xf>
    <xf numFmtId="0" fontId="48" fillId="0" borderId="10" xfId="0" applyNumberFormat="1" applyFont="1" applyBorder="1" applyAlignment="1">
      <alignment horizontal="left" vertical="center" wrapText="1"/>
    </xf>
    <xf numFmtId="0" fontId="48" fillId="0" borderId="12" xfId="0" applyNumberFormat="1" applyFont="1" applyBorder="1" applyAlignment="1">
      <alignment horizontal="left" vertical="center" wrapText="1"/>
    </xf>
    <xf numFmtId="0" fontId="48" fillId="0" borderId="11" xfId="0" applyNumberFormat="1" applyFont="1" applyBorder="1" applyAlignment="1">
      <alignment horizontal="left" vertical="center" wrapText="1"/>
    </xf>
    <xf numFmtId="0" fontId="38" fillId="0" borderId="0" xfId="0" applyFont="1" applyBorder="1" applyAlignment="1">
      <alignment horizontal="center"/>
    </xf>
    <xf numFmtId="4" fontId="48" fillId="0" borderId="10" xfId="0" applyNumberFormat="1" applyFont="1" applyBorder="1" applyAlignment="1">
      <alignment horizontal="left" vertical="center" wrapText="1"/>
    </xf>
    <xf numFmtId="4" fontId="48" fillId="0" borderId="12" xfId="0" applyNumberFormat="1" applyFont="1" applyBorder="1" applyAlignment="1">
      <alignment horizontal="left" vertical="center" wrapText="1"/>
    </xf>
    <xf numFmtId="4" fontId="48" fillId="0" borderId="11" xfId="0" applyNumberFormat="1" applyFont="1" applyBorder="1" applyAlignment="1">
      <alignment horizontal="left" vertical="center" wrapText="1"/>
    </xf>
    <xf numFmtId="0" fontId="19" fillId="0" borderId="0" xfId="0" applyFont="1" applyBorder="1" applyAlignment="1">
      <alignment horizontal="left" wrapText="1"/>
    </xf>
    <xf numFmtId="0" fontId="0" fillId="0" borderId="0" xfId="0" applyBorder="1" applyAlignment="1">
      <alignment wrapText="1"/>
    </xf>
    <xf numFmtId="0" fontId="38" fillId="0" borderId="0" xfId="0" applyFont="1" applyAlignment="1">
      <alignment horizontal="center"/>
    </xf>
    <xf numFmtId="0" fontId="51" fillId="0" borderId="0" xfId="0" applyFont="1" applyFill="1" applyAlignment="1">
      <alignment horizontal="center"/>
    </xf>
    <xf numFmtId="0" fontId="51" fillId="0" borderId="0" xfId="0" applyFont="1" applyFill="1" applyBorder="1" applyAlignment="1">
      <alignment horizontal="center"/>
    </xf>
    <xf numFmtId="0" fontId="41" fillId="0" borderId="2" xfId="0" applyFont="1" applyBorder="1" applyAlignment="1">
      <alignment horizontal="center" vertical="center"/>
    </xf>
    <xf numFmtId="0" fontId="69" fillId="0" borderId="0" xfId="0" applyFont="1" applyBorder="1" applyAlignment="1">
      <alignment horizontal="left"/>
    </xf>
    <xf numFmtId="0" fontId="55" fillId="0" borderId="0" xfId="0" applyFont="1" applyBorder="1" applyAlignment="1">
      <alignment horizontal="center"/>
    </xf>
    <xf numFmtId="0" fontId="19" fillId="0" borderId="0" xfId="0" applyFont="1" applyBorder="1" applyAlignment="1">
      <alignment horizontal="left"/>
    </xf>
    <xf numFmtId="0" fontId="55" fillId="0" borderId="0" xfId="0" applyFont="1" applyBorder="1" applyAlignment="1">
      <alignment horizontal="center" vertical="center"/>
    </xf>
    <xf numFmtId="0" fontId="0" fillId="0" borderId="0" xfId="0" applyBorder="1" applyAlignment="1">
      <alignment horizontal="justify" vertical="center"/>
    </xf>
    <xf numFmtId="0" fontId="19" fillId="0" borderId="13" xfId="0" applyFont="1" applyBorder="1" applyAlignment="1">
      <alignment horizontal="justify" vertical="center" wrapText="1"/>
    </xf>
    <xf numFmtId="0" fontId="19" fillId="0" borderId="0" xfId="0" applyFont="1" applyBorder="1" applyAlignment="1">
      <alignment horizontal="justify" vertical="center" wrapText="1"/>
    </xf>
    <xf numFmtId="0" fontId="0" fillId="0" borderId="0" xfId="0" applyAlignment="1">
      <alignment wrapText="1"/>
    </xf>
    <xf numFmtId="0" fontId="74" fillId="0" borderId="0" xfId="0" applyFont="1" applyAlignment="1">
      <alignment horizontal="center" vertical="center" wrapText="1"/>
    </xf>
    <xf numFmtId="0" fontId="19" fillId="0" borderId="0" xfId="0" quotePrefix="1" applyFont="1" applyAlignment="1">
      <alignment wrapText="1"/>
    </xf>
    <xf numFmtId="0" fontId="6" fillId="0" borderId="0" xfId="0" applyFont="1" applyAlignment="1">
      <alignment wrapText="1"/>
    </xf>
    <xf numFmtId="0" fontId="0" fillId="0" borderId="0" xfId="0" applyAlignment="1"/>
    <xf numFmtId="3" fontId="60" fillId="0" borderId="14" xfId="8" applyNumberFormat="1" applyFont="1" applyBorder="1" applyAlignment="1">
      <alignment horizontal="center" vertical="center"/>
    </xf>
    <xf numFmtId="3" fontId="60" fillId="0" borderId="6" xfId="8" applyNumberFormat="1" applyFont="1" applyBorder="1" applyAlignment="1">
      <alignment horizontal="center" vertical="center"/>
    </xf>
    <xf numFmtId="3" fontId="60" fillId="0" borderId="16" xfId="8" applyNumberFormat="1" applyFont="1" applyBorder="1" applyAlignment="1">
      <alignment horizontal="center" vertical="center"/>
    </xf>
    <xf numFmtId="3" fontId="60" fillId="0" borderId="15" xfId="8" applyNumberFormat="1" applyFont="1" applyBorder="1" applyAlignment="1">
      <alignment horizontal="center" vertical="center"/>
    </xf>
    <xf numFmtId="3" fontId="60" fillId="0" borderId="7" xfId="8" applyNumberFormat="1" applyFont="1" applyBorder="1" applyAlignment="1">
      <alignment horizontal="center" vertical="center"/>
    </xf>
    <xf numFmtId="3" fontId="60" fillId="0" borderId="17" xfId="8" applyNumberFormat="1" applyFont="1" applyBorder="1" applyAlignment="1">
      <alignment horizontal="center" vertical="center"/>
    </xf>
    <xf numFmtId="169" fontId="62" fillId="4" borderId="0" xfId="8" applyNumberFormat="1" applyFont="1" applyFill="1" applyAlignment="1">
      <alignment horizontal="center"/>
    </xf>
    <xf numFmtId="169" fontId="24" fillId="4" borderId="0" xfId="8" applyNumberFormat="1" applyFont="1" applyFill="1" applyAlignment="1">
      <alignment horizontal="center"/>
    </xf>
    <xf numFmtId="0" fontId="76" fillId="0" borderId="0" xfId="16" applyFont="1" applyBorder="1" applyAlignment="1">
      <alignment horizontal="center"/>
    </xf>
    <xf numFmtId="0" fontId="75" fillId="0" borderId="0" xfId="16" applyFont="1" applyBorder="1" applyAlignment="1">
      <alignment horizontal="center"/>
    </xf>
    <xf numFmtId="0" fontId="76" fillId="0" borderId="0" xfId="13" applyFont="1" applyBorder="1" applyAlignment="1">
      <alignment horizontal="center"/>
    </xf>
    <xf numFmtId="0" fontId="75" fillId="8" borderId="0" xfId="13" applyFont="1" applyFill="1" applyBorder="1" applyAlignment="1">
      <alignment horizontal="center"/>
    </xf>
    <xf numFmtId="0" fontId="11" fillId="0" borderId="0" xfId="0" applyFont="1" applyBorder="1" applyAlignment="1">
      <alignment horizontal="center"/>
    </xf>
    <xf numFmtId="4" fontId="48" fillId="0" borderId="0" xfId="0" applyNumberFormat="1" applyFont="1" applyBorder="1" applyAlignment="1">
      <alignment horizontal="justify" vertical="center" wrapText="1"/>
    </xf>
    <xf numFmtId="0" fontId="43" fillId="0" borderId="0" xfId="0" applyFont="1" applyBorder="1" applyAlignment="1">
      <alignment horizontal="justify" vertical="center" wrapText="1"/>
    </xf>
    <xf numFmtId="0" fontId="43" fillId="0" borderId="0" xfId="0" applyFont="1" applyAlignment="1">
      <alignment horizontal="center"/>
    </xf>
  </cellXfs>
  <cellStyles count="18">
    <cellStyle name="Estilo 1" xfId="1" xr:uid="{00000000-0005-0000-0000-000000000000}"/>
    <cellStyle name="Estilo 2" xfId="2" xr:uid="{00000000-0005-0000-0000-000001000000}"/>
    <cellStyle name="Estilo 3" xfId="3" xr:uid="{00000000-0005-0000-0000-000002000000}"/>
    <cellStyle name="Millares" xfId="4" builtinId="3"/>
    <cellStyle name="Millares [0]_EVOLUCION CAPITULOS 95-2003 ultimos" xfId="5" xr:uid="{00000000-0005-0000-0000-000004000000}"/>
    <cellStyle name="Millares 2" xfId="12" xr:uid="{00000000-0005-0000-0000-000005000000}"/>
    <cellStyle name="Millares 3" xfId="14" xr:uid="{00000000-0005-0000-0000-000006000000}"/>
    <cellStyle name="Millares 4" xfId="17" xr:uid="{00000000-0005-0000-0000-000007000000}"/>
    <cellStyle name="Millares_EVOLUCION CAPITULOS 95-2003 ultimos" xfId="6" xr:uid="{00000000-0005-0000-0000-000008000000}"/>
    <cellStyle name="Millares_Modif. Alicia EVOLUCION CAPITULOS 95-2003 " xfId="7" xr:uid="{00000000-0005-0000-0000-000009000000}"/>
    <cellStyle name="Normal" xfId="0" builtinId="0"/>
    <cellStyle name="Normal 2" xfId="8" xr:uid="{00000000-0005-0000-0000-00000B000000}"/>
    <cellStyle name="Normal 3" xfId="11" xr:uid="{00000000-0005-0000-0000-00000C000000}"/>
    <cellStyle name="Normal 4" xfId="13" xr:uid="{00000000-0005-0000-0000-00000D000000}"/>
    <cellStyle name="Normal 5" xfId="15" xr:uid="{00000000-0005-0000-0000-00000E000000}"/>
    <cellStyle name="Normal 6" xfId="16" xr:uid="{00000000-0005-0000-0000-00000F000000}"/>
    <cellStyle name="Porcentaje" xfId="9" builtinId="5"/>
    <cellStyle name="Porcentual 2" xfId="10" xr:uid="{00000000-0005-0000-0000-000011000000}"/>
  </cellStyles>
  <dxfs count="0"/>
  <tableStyles count="0" defaultTableStyle="TableStyleMedium9" defaultPivotStyle="PivotStyleLight16"/>
  <colors>
    <mruColors>
      <color rgb="FF00FFFF"/>
      <color rgb="FFCCFFFF"/>
      <color rgb="FF3366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7365319505302"/>
          <c:y val="9.3862981341277726E-2"/>
          <c:w val="0.69946137673028996"/>
          <c:h val="0.74368362139627664"/>
        </c:manualLayout>
      </c:layout>
      <c:barChart>
        <c:barDir val="col"/>
        <c:grouping val="clustered"/>
        <c:varyColors val="0"/>
        <c:ser>
          <c:idx val="0"/>
          <c:order val="0"/>
          <c:tx>
            <c:strRef>
              <c:f>'LIQUIDACIO INGRESSOS CAIB'!$C$7:$C$8</c:f>
              <c:strCache>
                <c:ptCount val="2"/>
                <c:pt idx="0">
                  <c:v>CRED. DEFINITIU</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'LIQUIDACIO INGRESSOS CAIB'!$B$21:$B$31</c:f>
              <c:numCache>
                <c:formatCode>General</c:formatCode>
                <c:ptCount val="10"/>
                <c:pt idx="0">
                  <c:v>2012</c:v>
                </c:pt>
                <c:pt idx="1">
                  <c:v>2013</c:v>
                </c:pt>
                <c:pt idx="2">
                  <c:v>2014</c:v>
                </c:pt>
                <c:pt idx="3" formatCode="0">
                  <c:v>2015</c:v>
                </c:pt>
                <c:pt idx="4" formatCode="0">
                  <c:v>2016</c:v>
                </c:pt>
                <c:pt idx="5" formatCode="0">
                  <c:v>2017</c:v>
                </c:pt>
                <c:pt idx="6" formatCode="0">
                  <c:v>2018</c:v>
                </c:pt>
                <c:pt idx="7" formatCode="0">
                  <c:v>2019</c:v>
                </c:pt>
                <c:pt idx="8" formatCode="0">
                  <c:v>2020</c:v>
                </c:pt>
                <c:pt idx="9" formatCode="0">
                  <c:v>2021</c:v>
                </c:pt>
              </c:numCache>
            </c:numRef>
          </c:cat>
          <c:val>
            <c:numRef>
              <c:f>'LIQUIDACIO INGRESSOS CAIB'!$C$21:$C$31</c:f>
              <c:numCache>
                <c:formatCode>#,##0.00</c:formatCode>
                <c:ptCount val="10"/>
                <c:pt idx="0">
                  <c:v>5976.76</c:v>
                </c:pt>
                <c:pt idx="1">
                  <c:v>3775.53</c:v>
                </c:pt>
                <c:pt idx="2">
                  <c:v>4368.97</c:v>
                </c:pt>
                <c:pt idx="3">
                  <c:v>4247.3599999999997</c:v>
                </c:pt>
                <c:pt idx="4">
                  <c:v>4425.54</c:v>
                </c:pt>
                <c:pt idx="5">
                  <c:v>4869.53</c:v>
                </c:pt>
                <c:pt idx="6">
                  <c:v>5258.64</c:v>
                </c:pt>
                <c:pt idx="7">
                  <c:v>5642.09</c:v>
                </c:pt>
                <c:pt idx="8">
                  <c:v>6472.01</c:v>
                </c:pt>
                <c:pt idx="9">
                  <c:v>7027.41</c:v>
                </c:pt>
              </c:numCache>
            </c:numRef>
          </c:val>
          <c:extLst>
            <c:ext xmlns:c16="http://schemas.microsoft.com/office/drawing/2014/chart" uri="{C3380CC4-5D6E-409C-BE32-E72D297353CC}">
              <c16:uniqueId val="{00000000-AE92-4A85-B646-6790ABEE9538}"/>
            </c:ext>
          </c:extLst>
        </c:ser>
        <c:ser>
          <c:idx val="1"/>
          <c:order val="1"/>
          <c:tx>
            <c:strRef>
              <c:f>'LIQUIDACIO INGRESSOS CAIB'!$D$7</c:f>
              <c:strCache>
                <c:ptCount val="1"/>
                <c:pt idx="0">
                  <c:v>DRETS RECON.</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'LIQUIDACIO INGRESSOS CAIB'!$B$21:$B$31</c:f>
              <c:numCache>
                <c:formatCode>General</c:formatCode>
                <c:ptCount val="10"/>
                <c:pt idx="0">
                  <c:v>2012</c:v>
                </c:pt>
                <c:pt idx="1">
                  <c:v>2013</c:v>
                </c:pt>
                <c:pt idx="2">
                  <c:v>2014</c:v>
                </c:pt>
                <c:pt idx="3" formatCode="0">
                  <c:v>2015</c:v>
                </c:pt>
                <c:pt idx="4" formatCode="0">
                  <c:v>2016</c:v>
                </c:pt>
                <c:pt idx="5" formatCode="0">
                  <c:v>2017</c:v>
                </c:pt>
                <c:pt idx="6" formatCode="0">
                  <c:v>2018</c:v>
                </c:pt>
                <c:pt idx="7" formatCode="0">
                  <c:v>2019</c:v>
                </c:pt>
                <c:pt idx="8" formatCode="0">
                  <c:v>2020</c:v>
                </c:pt>
                <c:pt idx="9" formatCode="0">
                  <c:v>2021</c:v>
                </c:pt>
              </c:numCache>
            </c:numRef>
          </c:cat>
          <c:val>
            <c:numRef>
              <c:f>'LIQUIDACIO INGRESSOS CAIB'!$D$21:$D$31</c:f>
              <c:numCache>
                <c:formatCode>#,##0.00</c:formatCode>
                <c:ptCount val="10"/>
                <c:pt idx="0">
                  <c:v>5618.88</c:v>
                </c:pt>
                <c:pt idx="1">
                  <c:v>3988.22</c:v>
                </c:pt>
                <c:pt idx="2">
                  <c:v>4390.4399999999996</c:v>
                </c:pt>
                <c:pt idx="3">
                  <c:v>4152.49</c:v>
                </c:pt>
                <c:pt idx="4">
                  <c:v>4539.41</c:v>
                </c:pt>
                <c:pt idx="5">
                  <c:v>4962.5600000000004</c:v>
                </c:pt>
                <c:pt idx="6">
                  <c:v>4816.62</c:v>
                </c:pt>
                <c:pt idx="7">
                  <c:v>5219.21</c:v>
                </c:pt>
                <c:pt idx="8">
                  <c:v>6309.52</c:v>
                </c:pt>
                <c:pt idx="9">
                  <c:v>7069.06</c:v>
                </c:pt>
              </c:numCache>
            </c:numRef>
          </c:val>
          <c:extLst>
            <c:ext xmlns:c16="http://schemas.microsoft.com/office/drawing/2014/chart" uri="{C3380CC4-5D6E-409C-BE32-E72D297353CC}">
              <c16:uniqueId val="{00000001-AE92-4A85-B646-6790ABEE9538}"/>
            </c:ext>
          </c:extLst>
        </c:ser>
        <c:dLbls>
          <c:showLegendKey val="0"/>
          <c:showVal val="0"/>
          <c:showCatName val="0"/>
          <c:showSerName val="0"/>
          <c:showPercent val="0"/>
          <c:showBubbleSize val="0"/>
        </c:dLbls>
        <c:gapWidth val="60"/>
        <c:axId val="92334336"/>
        <c:axId val="104665088"/>
      </c:barChart>
      <c:catAx>
        <c:axId val="923343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1" i="0" u="none" strike="noStrike" baseline="0">
                <a:solidFill>
                  <a:srgbClr val="000000"/>
                </a:solidFill>
                <a:latin typeface="Arial"/>
                <a:ea typeface="Arial"/>
                <a:cs typeface="Arial"/>
              </a:defRPr>
            </a:pPr>
            <a:endParaRPr lang="ca-ES"/>
          </a:p>
        </c:txPr>
        <c:crossAx val="104665088"/>
        <c:crosses val="autoZero"/>
        <c:auto val="1"/>
        <c:lblAlgn val="ctr"/>
        <c:lblOffset val="100"/>
        <c:tickLblSkip val="1"/>
        <c:tickMarkSkip val="1"/>
        <c:noMultiLvlLbl val="0"/>
      </c:catAx>
      <c:valAx>
        <c:axId val="104665088"/>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1000" b="1" i="0" u="none" strike="noStrike" baseline="0">
                <a:solidFill>
                  <a:srgbClr val="000000"/>
                </a:solidFill>
                <a:latin typeface="Arial"/>
                <a:ea typeface="Arial"/>
                <a:cs typeface="Arial"/>
              </a:defRPr>
            </a:pPr>
            <a:endParaRPr lang="ca-ES"/>
          </a:p>
        </c:txPr>
        <c:crossAx val="92334336"/>
        <c:crosses val="autoZero"/>
        <c:crossBetween val="between"/>
      </c:valAx>
      <c:spPr>
        <a:solidFill>
          <a:schemeClr val="bg2"/>
        </a:solidFill>
        <a:ln>
          <a:solidFill>
            <a:schemeClr val="tx1"/>
          </a:solidFill>
          <a:prstDash val="solid"/>
        </a:ln>
      </c:spPr>
    </c:plotArea>
    <c:legend>
      <c:legendPos val="r"/>
      <c:layout>
        <c:manualLayout>
          <c:xMode val="edge"/>
          <c:yMode val="edge"/>
          <c:x val="0.81805986515836504"/>
          <c:y val="0.39350256308215753"/>
          <c:w val="0.17115917114134321"/>
          <c:h val="0.14801481944721126"/>
        </c:manualLayout>
      </c:layout>
      <c:overlay val="0"/>
      <c:spPr>
        <a:solidFill>
          <a:srgbClr val="FFFFFF"/>
        </a:solidFill>
        <a:ln w="3175">
          <a:solidFill>
            <a:srgbClr val="000000"/>
          </a:solidFill>
          <a:prstDash val="solid"/>
        </a:ln>
      </c:spPr>
      <c:txPr>
        <a:bodyPr/>
        <a:lstStyle/>
        <a:p>
          <a:pPr>
            <a:defRPr lang="es-ES" sz="825"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0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155954982067002"/>
          <c:y val="7.0773556371278717E-2"/>
          <c:w val="0.61286167781856971"/>
          <c:h val="0.79890022087051504"/>
        </c:manualLayout>
      </c:layout>
      <c:barChart>
        <c:barDir val="col"/>
        <c:grouping val="clustered"/>
        <c:varyColors val="0"/>
        <c:ser>
          <c:idx val="0"/>
          <c:order val="0"/>
          <c:tx>
            <c:strRef>
              <c:f>'DESPESA LLIURE DISPOS CAIB'!$A$10</c:f>
              <c:strCache>
                <c:ptCount val="1"/>
                <c:pt idx="0">
                  <c:v>Desp. Obl.+ Càrrega Fin.</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'DESPESA LLIURE DISPOS CAIB'!$N$7:$W$7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'DESPESA LLIURE DISPOS CAIB'!$N$10:$W$10</c:f>
              <c:numCache>
                <c:formatCode>#,##0.00</c:formatCode>
                <c:ptCount val="10"/>
                <c:pt idx="0">
                  <c:v>5067.8551940200005</c:v>
                </c:pt>
                <c:pt idx="1">
                  <c:v>3157.96</c:v>
                </c:pt>
                <c:pt idx="2">
                  <c:v>3451.7000000000003</c:v>
                </c:pt>
                <c:pt idx="3">
                  <c:v>3411.7700000000004</c:v>
                </c:pt>
                <c:pt idx="4">
                  <c:v>3722.99</c:v>
                </c:pt>
                <c:pt idx="5">
                  <c:v>4100.7</c:v>
                </c:pt>
                <c:pt idx="6">
                  <c:v>4316.3900000000003</c:v>
                </c:pt>
                <c:pt idx="7">
                  <c:v>4773.79</c:v>
                </c:pt>
                <c:pt idx="8">
                  <c:v>5540.8099999999995</c:v>
                </c:pt>
                <c:pt idx="9">
                  <c:v>6089.45</c:v>
                </c:pt>
              </c:numCache>
            </c:numRef>
          </c:val>
          <c:extLst>
            <c:ext xmlns:c16="http://schemas.microsoft.com/office/drawing/2014/chart" uri="{C3380CC4-5D6E-409C-BE32-E72D297353CC}">
              <c16:uniqueId val="{00000000-F3DE-49B7-AA3B-208B2D20BB0D}"/>
            </c:ext>
          </c:extLst>
        </c:ser>
        <c:ser>
          <c:idx val="1"/>
          <c:order val="1"/>
          <c:tx>
            <c:strRef>
              <c:f>'DESPESA LLIURE DISPOS CAIB'!$A$11</c:f>
              <c:strCache>
                <c:ptCount val="1"/>
                <c:pt idx="0">
                  <c:v>Altres Obligacions</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'DESPESA LLIURE DISPOS CAIB'!$N$7:$W$7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'DESPESA LLIURE DISPOS CAIB'!$N$11:$W$11</c:f>
              <c:numCache>
                <c:formatCode>#,##0.00</c:formatCode>
                <c:ptCount val="10"/>
                <c:pt idx="0">
                  <c:v>560.46918155999992</c:v>
                </c:pt>
                <c:pt idx="1">
                  <c:v>421.96000000000004</c:v>
                </c:pt>
                <c:pt idx="2">
                  <c:v>734.78</c:v>
                </c:pt>
                <c:pt idx="3">
                  <c:v>586.59</c:v>
                </c:pt>
                <c:pt idx="4">
                  <c:v>584.28</c:v>
                </c:pt>
                <c:pt idx="5">
                  <c:v>597.24</c:v>
                </c:pt>
                <c:pt idx="6">
                  <c:v>705.03000000000009</c:v>
                </c:pt>
                <c:pt idx="7">
                  <c:v>655.8900000000001</c:v>
                </c:pt>
                <c:pt idx="8">
                  <c:v>605.29000000000008</c:v>
                </c:pt>
                <c:pt idx="9">
                  <c:v>616.57000000000005</c:v>
                </c:pt>
              </c:numCache>
            </c:numRef>
          </c:val>
          <c:extLst>
            <c:ext xmlns:c16="http://schemas.microsoft.com/office/drawing/2014/chart" uri="{C3380CC4-5D6E-409C-BE32-E72D297353CC}">
              <c16:uniqueId val="{00000001-F3DE-49B7-AA3B-208B2D20BB0D}"/>
            </c:ext>
          </c:extLst>
        </c:ser>
        <c:dLbls>
          <c:showLegendKey val="0"/>
          <c:showVal val="0"/>
          <c:showCatName val="0"/>
          <c:showSerName val="0"/>
          <c:showPercent val="0"/>
          <c:showBubbleSize val="0"/>
        </c:dLbls>
        <c:gapWidth val="60"/>
        <c:axId val="110316928"/>
        <c:axId val="110335104"/>
      </c:barChart>
      <c:catAx>
        <c:axId val="1103169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0" u="none" strike="noStrike" baseline="0">
                <a:solidFill>
                  <a:srgbClr val="000000"/>
                </a:solidFill>
                <a:latin typeface="Arial"/>
                <a:ea typeface="Arial"/>
                <a:cs typeface="Arial"/>
              </a:defRPr>
            </a:pPr>
            <a:endParaRPr lang="ca-ES"/>
          </a:p>
        </c:txPr>
        <c:crossAx val="110335104"/>
        <c:crosses val="autoZero"/>
        <c:auto val="1"/>
        <c:lblAlgn val="ctr"/>
        <c:lblOffset val="100"/>
        <c:tickLblSkip val="1"/>
        <c:tickMarkSkip val="1"/>
        <c:noMultiLvlLbl val="0"/>
      </c:catAx>
      <c:valAx>
        <c:axId val="110335104"/>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1100" b="1" i="0" u="none" strike="noStrike" baseline="0">
                <a:solidFill>
                  <a:srgbClr val="000000"/>
                </a:solidFill>
                <a:latin typeface="Arial"/>
                <a:ea typeface="Arial"/>
                <a:cs typeface="Arial"/>
              </a:defRPr>
            </a:pPr>
            <a:endParaRPr lang="ca-ES"/>
          </a:p>
        </c:txPr>
        <c:crossAx val="110316928"/>
        <c:crosses val="autoZero"/>
        <c:crossBetween val="between"/>
        <c:majorUnit val="500"/>
      </c:valAx>
      <c:spPr>
        <a:solidFill>
          <a:schemeClr val="bg2"/>
        </a:solidFill>
        <a:ln w="12700">
          <a:solidFill>
            <a:srgbClr val="808080"/>
          </a:solidFill>
          <a:prstDash val="solid"/>
        </a:ln>
      </c:spPr>
    </c:plotArea>
    <c:legend>
      <c:legendPos val="r"/>
      <c:layout>
        <c:manualLayout>
          <c:xMode val="edge"/>
          <c:yMode val="edge"/>
          <c:x val="0.76115577155910863"/>
          <c:y val="0.42975322299588631"/>
          <c:w val="0.225722013755914"/>
          <c:h val="0.22038625337122394"/>
        </c:manualLayout>
      </c:layout>
      <c:overlay val="0"/>
      <c:spPr>
        <a:solidFill>
          <a:srgbClr val="FFFFFF"/>
        </a:solidFill>
        <a:ln w="3175">
          <a:solidFill>
            <a:srgbClr val="000000"/>
          </a:solidFill>
          <a:prstDash val="solid"/>
        </a:ln>
      </c:spPr>
      <c:txPr>
        <a:bodyPr/>
        <a:lstStyle/>
        <a:p>
          <a:pPr>
            <a:defRPr lang="es-ES" sz="1200"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82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Arial"/>
                <a:ea typeface="Arial"/>
                <a:cs typeface="Arial"/>
              </a:defRPr>
            </a:pPr>
            <a:r>
              <a:rPr lang="es-ES"/>
              <a:t>ESTALVI  BRUT/ ESTALVI  NET</a:t>
            </a:r>
          </a:p>
        </c:rich>
      </c:tx>
      <c:layout>
        <c:manualLayout>
          <c:xMode val="edge"/>
          <c:yMode val="edge"/>
          <c:x val="0.31069366329209636"/>
          <c:y val="3.3846153846153804E-2"/>
        </c:manualLayout>
      </c:layout>
      <c:overlay val="0"/>
      <c:spPr>
        <a:noFill/>
        <a:ln w="25400">
          <a:noFill/>
        </a:ln>
      </c:spPr>
    </c:title>
    <c:autoTitleDeleted val="0"/>
    <c:plotArea>
      <c:layout>
        <c:manualLayout>
          <c:layoutTarget val="inner"/>
          <c:xMode val="edge"/>
          <c:yMode val="edge"/>
          <c:x val="0.1027217630854038"/>
          <c:y val="0.19409393423812021"/>
          <c:w val="0.69653179190751358"/>
          <c:h val="0.66769331083730765"/>
        </c:manualLayout>
      </c:layout>
      <c:barChart>
        <c:barDir val="col"/>
        <c:grouping val="clustered"/>
        <c:varyColors val="0"/>
        <c:ser>
          <c:idx val="0"/>
          <c:order val="0"/>
          <c:tx>
            <c:strRef>
              <c:f>'ESTALVI BRUT-NET CAIB'!$A$13</c:f>
              <c:strCache>
                <c:ptCount val="1"/>
                <c:pt idx="0">
                  <c:v>ESTALVI BRUT</c:v>
                </c:pt>
              </c:strCache>
            </c:strRef>
          </c:tx>
          <c:spPr>
            <a:gradFill rotWithShape="0">
              <a:gsLst>
                <a:gs pos="0">
                  <a:srgbClr val="CCFFFF">
                    <a:gamma/>
                    <a:shade val="46275"/>
                    <a:invGamma/>
                  </a:srgbClr>
                </a:gs>
                <a:gs pos="50000">
                  <a:srgbClr val="CCFFFF"/>
                </a:gs>
                <a:gs pos="100000">
                  <a:srgbClr val="CCFFFF">
                    <a:gamma/>
                    <a:shade val="46275"/>
                    <a:invGamma/>
                  </a:srgbClr>
                </a:gs>
              </a:gsLst>
              <a:lin ang="0" scaled="1"/>
            </a:gradFill>
            <a:ln w="12700">
              <a:solidFill>
                <a:srgbClr val="000000"/>
              </a:solidFill>
              <a:prstDash val="solid"/>
            </a:ln>
          </c:spPr>
          <c:invertIfNegative val="0"/>
          <c:cat>
            <c:numRef>
              <c:f>'ESTALVI BRUT-NET CAIB'!$M$7:$V$7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'ESTALVI BRUT-NET CAIB'!$M$13:$V$13</c:f>
              <c:numCache>
                <c:formatCode>#,##0.00</c:formatCode>
                <c:ptCount val="10"/>
                <c:pt idx="0">
                  <c:v>-680.70647346000032</c:v>
                </c:pt>
                <c:pt idx="1">
                  <c:v>8.7300000000004729</c:v>
                </c:pt>
                <c:pt idx="2">
                  <c:v>-96.910000000000309</c:v>
                </c:pt>
                <c:pt idx="3">
                  <c:v>48.279999999999745</c:v>
                </c:pt>
                <c:pt idx="4">
                  <c:v>229.75</c:v>
                </c:pt>
                <c:pt idx="5">
                  <c:v>298.94000000000005</c:v>
                </c:pt>
                <c:pt idx="6">
                  <c:v>435.73999999999933</c:v>
                </c:pt>
                <c:pt idx="7">
                  <c:v>148.46000000000049</c:v>
                </c:pt>
                <c:pt idx="8">
                  <c:v>405.23</c:v>
                </c:pt>
                <c:pt idx="9">
                  <c:v>754.02999999999975</c:v>
                </c:pt>
              </c:numCache>
            </c:numRef>
          </c:val>
          <c:extLst>
            <c:ext xmlns:c16="http://schemas.microsoft.com/office/drawing/2014/chart" uri="{C3380CC4-5D6E-409C-BE32-E72D297353CC}">
              <c16:uniqueId val="{00000000-19DC-4BBA-BA29-56191A056E11}"/>
            </c:ext>
          </c:extLst>
        </c:ser>
        <c:ser>
          <c:idx val="1"/>
          <c:order val="1"/>
          <c:tx>
            <c:strRef>
              <c:f>'ESTALVI BRUT-NET CAIB'!$A$17</c:f>
              <c:strCache>
                <c:ptCount val="1"/>
                <c:pt idx="0">
                  <c:v>ESTALVI NET</c:v>
                </c:pt>
              </c:strCache>
            </c:strRef>
          </c:tx>
          <c:spPr>
            <a:gradFill rotWithShape="0">
              <a:gsLst>
                <a:gs pos="0">
                  <a:srgbClr val="3366FF">
                    <a:gamma/>
                    <a:shade val="60392"/>
                    <a:invGamma/>
                  </a:srgbClr>
                </a:gs>
                <a:gs pos="50000">
                  <a:srgbClr val="3366FF"/>
                </a:gs>
                <a:gs pos="100000">
                  <a:srgbClr val="3366FF">
                    <a:gamma/>
                    <a:shade val="60392"/>
                    <a:invGamma/>
                  </a:srgbClr>
                </a:gs>
              </a:gsLst>
              <a:lin ang="0" scaled="1"/>
            </a:gradFill>
            <a:ln w="12700">
              <a:solidFill>
                <a:srgbClr val="000000"/>
              </a:solidFill>
              <a:prstDash val="solid"/>
            </a:ln>
          </c:spPr>
          <c:invertIfNegative val="0"/>
          <c:cat>
            <c:numRef>
              <c:f>'ESTALVI BRUT-NET CAIB'!$M$7:$V$7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'ESTALVI BRUT-NET CAIB'!$M$17:$V$17</c:f>
              <c:numCache>
                <c:formatCode>#,##0.00</c:formatCode>
                <c:ptCount val="10"/>
                <c:pt idx="0">
                  <c:v>-1161.6043367900004</c:v>
                </c:pt>
                <c:pt idx="1">
                  <c:v>-476.71999999999952</c:v>
                </c:pt>
                <c:pt idx="2">
                  <c:v>-772.65000000000032</c:v>
                </c:pt>
                <c:pt idx="3">
                  <c:v>-453.48000000000025</c:v>
                </c:pt>
                <c:pt idx="4">
                  <c:v>-479.86</c:v>
                </c:pt>
                <c:pt idx="5">
                  <c:v>-505.94999999999993</c:v>
                </c:pt>
                <c:pt idx="6">
                  <c:v>-424.32000000000062</c:v>
                </c:pt>
                <c:pt idx="7">
                  <c:v>-839.55999999999949</c:v>
                </c:pt>
                <c:pt idx="8">
                  <c:v>-1070.69</c:v>
                </c:pt>
                <c:pt idx="9">
                  <c:v>-409.96000000000026</c:v>
                </c:pt>
              </c:numCache>
            </c:numRef>
          </c:val>
          <c:extLst>
            <c:ext xmlns:c16="http://schemas.microsoft.com/office/drawing/2014/chart" uri="{C3380CC4-5D6E-409C-BE32-E72D297353CC}">
              <c16:uniqueId val="{00000001-19DC-4BBA-BA29-56191A056E11}"/>
            </c:ext>
          </c:extLst>
        </c:ser>
        <c:dLbls>
          <c:showLegendKey val="0"/>
          <c:showVal val="0"/>
          <c:showCatName val="0"/>
          <c:showSerName val="0"/>
          <c:showPercent val="0"/>
          <c:showBubbleSize val="0"/>
        </c:dLbls>
        <c:gapWidth val="60"/>
        <c:axId val="108296832"/>
        <c:axId val="108302720"/>
      </c:barChart>
      <c:catAx>
        <c:axId val="108296832"/>
        <c:scaling>
          <c:orientation val="minMax"/>
        </c:scaling>
        <c:delete val="0"/>
        <c:axPos val="b"/>
        <c:numFmt formatCode="General" sourceLinked="1"/>
        <c:majorTickMark val="out"/>
        <c:minorTickMark val="none"/>
        <c:tickLblPos val="low"/>
        <c:spPr>
          <a:ln w="3175">
            <a:solidFill>
              <a:schemeClr val="tx1"/>
            </a:solidFill>
            <a:prstDash val="solid"/>
          </a:ln>
        </c:spPr>
        <c:txPr>
          <a:bodyPr rot="0" vert="horz"/>
          <a:lstStyle/>
          <a:p>
            <a:pPr>
              <a:defRPr sz="1100" b="1" i="0" u="none" strike="noStrike" baseline="0">
                <a:solidFill>
                  <a:srgbClr val="000000"/>
                </a:solidFill>
                <a:latin typeface="Arial"/>
                <a:ea typeface="Arial"/>
                <a:cs typeface="Arial"/>
              </a:defRPr>
            </a:pPr>
            <a:endParaRPr lang="ca-ES"/>
          </a:p>
        </c:txPr>
        <c:crossAx val="108302720"/>
        <c:crosses val="autoZero"/>
        <c:auto val="1"/>
        <c:lblAlgn val="ctr"/>
        <c:lblOffset val="100"/>
        <c:tickLblSkip val="1"/>
        <c:tickMarkSkip val="1"/>
        <c:noMultiLvlLbl val="0"/>
      </c:catAx>
      <c:valAx>
        <c:axId val="108302720"/>
        <c:scaling>
          <c:orientation val="minMax"/>
          <c:max val="600"/>
          <c:min val="-1200"/>
        </c:scaling>
        <c:delete val="0"/>
        <c:axPos val="l"/>
        <c:majorGridlines>
          <c:spPr>
            <a:ln w="3175">
              <a:solidFill>
                <a:srgbClr val="000000"/>
              </a:solidFill>
              <a:prstDash val="solid"/>
            </a:ln>
          </c:spPr>
        </c:majorGridlines>
        <c:numFmt formatCode="#,##0.00" sourceLinked="1"/>
        <c:majorTickMark val="out"/>
        <c:minorTickMark val="none"/>
        <c:tickLblPos val="nextTo"/>
        <c:spPr>
          <a:ln w="12700">
            <a:solidFill>
              <a:schemeClr val="tx1"/>
            </a:solidFill>
            <a:prstDash val="solid"/>
          </a:ln>
        </c:spPr>
        <c:txPr>
          <a:bodyPr rot="0" vert="horz"/>
          <a:lstStyle/>
          <a:p>
            <a:pPr>
              <a:defRPr sz="1100" b="1" i="0" u="none" strike="noStrike" baseline="0">
                <a:solidFill>
                  <a:srgbClr val="000000"/>
                </a:solidFill>
                <a:latin typeface="Arial"/>
                <a:ea typeface="Arial"/>
                <a:cs typeface="Arial"/>
              </a:defRPr>
            </a:pPr>
            <a:endParaRPr lang="ca-ES"/>
          </a:p>
        </c:txPr>
        <c:crossAx val="108296832"/>
        <c:crosses val="autoZero"/>
        <c:crossBetween val="between"/>
        <c:majorUnit val="200"/>
      </c:valAx>
      <c:spPr>
        <a:solidFill>
          <a:schemeClr val="bg2"/>
        </a:solidFill>
        <a:ln w="12700">
          <a:solidFill>
            <a:srgbClr val="808080"/>
          </a:solidFill>
          <a:prstDash val="solid"/>
        </a:ln>
      </c:spPr>
    </c:plotArea>
    <c:legend>
      <c:legendPos val="r"/>
      <c:layout>
        <c:manualLayout>
          <c:xMode val="edge"/>
          <c:yMode val="edge"/>
          <c:x val="0.83801608600662258"/>
          <c:y val="0.47384679991925727"/>
          <c:w val="0.15042323337584926"/>
          <c:h val="0.132308015344236"/>
        </c:manualLayout>
      </c:layout>
      <c:overlay val="0"/>
      <c:spPr>
        <a:solidFill>
          <a:srgbClr val="FFFFFF"/>
        </a:solidFill>
        <a:ln w="3175">
          <a:solidFill>
            <a:srgbClr val="000000"/>
          </a:solidFill>
          <a:prstDash val="solid"/>
        </a:ln>
      </c:spPr>
      <c:txPr>
        <a:bodyPr/>
        <a:lstStyle/>
        <a:p>
          <a:pPr>
            <a:defRPr lang="es-ES" sz="870" b="0" i="0" u="none" strike="noStrike" baseline="0">
              <a:solidFill>
                <a:srgbClr val="000000"/>
              </a:solidFill>
              <a:latin typeface="Arial"/>
              <a:ea typeface="Arial"/>
              <a:cs typeface="Arial"/>
            </a:defRPr>
          </a:pPr>
          <a:endParaRPr lang="ca-ES"/>
        </a:p>
      </c:txPr>
    </c:legend>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62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b="1" i="0" u="none" strike="noStrike" baseline="0">
                <a:solidFill>
                  <a:srgbClr val="000000"/>
                </a:solidFill>
                <a:latin typeface="Arial"/>
                <a:ea typeface="Arial"/>
                <a:cs typeface="Arial"/>
              </a:defRPr>
            </a:pPr>
            <a:r>
              <a:rPr lang="es-ES"/>
              <a:t>EVOLUCION DEL REMANENTE DE TESORERIA</a:t>
            </a:r>
          </a:p>
        </c:rich>
      </c:tx>
      <c:layout>
        <c:manualLayout>
          <c:xMode val="edge"/>
          <c:yMode val="edge"/>
          <c:x val="0"/>
          <c:y val="0"/>
        </c:manualLayout>
      </c:layout>
      <c:overlay val="0"/>
      <c:spPr>
        <a:noFill/>
        <a:ln w="25400">
          <a:noFill/>
        </a:ln>
      </c:spPr>
    </c:title>
    <c:autoTitleDeleted val="0"/>
    <c:view3D>
      <c:rotX val="15"/>
      <c:hPercent val="106"/>
      <c:rotY val="20"/>
      <c:depthPercent val="2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stacked"/>
        <c:varyColors val="0"/>
        <c:ser>
          <c:idx val="0"/>
          <c:order val="0"/>
          <c:spPr>
            <a:solidFill>
              <a:srgbClr val="9999FF"/>
            </a:solidFill>
            <a:ln w="12700">
              <a:solidFill>
                <a:srgbClr val="000000"/>
              </a:solidFill>
              <a:prstDash val="solid"/>
            </a:ln>
          </c:spPr>
          <c:invertIfNegative val="0"/>
          <c:cat>
            <c:strLit>
              <c:ptCount val="7"/>
              <c:pt idx="0">
                <c:v>1990</c:v>
              </c:pt>
              <c:pt idx="1">
                <c:v>1991</c:v>
              </c:pt>
              <c:pt idx="2">
                <c:v>1992</c:v>
              </c:pt>
              <c:pt idx="3">
                <c:v>1993</c:v>
              </c:pt>
              <c:pt idx="4">
                <c:v>1994</c:v>
              </c:pt>
              <c:pt idx="5">
                <c:v>1995</c:v>
              </c:pt>
              <c:pt idx="6">
                <c:v>1996</c:v>
              </c:pt>
            </c:strLit>
          </c:cat>
          <c:val>
            <c:numLit>
              <c:formatCode>General</c:formatCode>
              <c:ptCount val="7"/>
              <c:pt idx="0">
                <c:v>12365</c:v>
              </c:pt>
              <c:pt idx="1">
                <c:v>3245</c:v>
              </c:pt>
              <c:pt idx="2">
                <c:v>-3461</c:v>
              </c:pt>
              <c:pt idx="3">
                <c:v>-2396</c:v>
              </c:pt>
              <c:pt idx="4">
                <c:v>1953</c:v>
              </c:pt>
              <c:pt idx="5">
                <c:v>5258</c:v>
              </c:pt>
              <c:pt idx="6">
                <c:v>5392</c:v>
              </c:pt>
            </c:numLit>
          </c:val>
          <c:extLst>
            <c:ext xmlns:c16="http://schemas.microsoft.com/office/drawing/2014/chart" uri="{C3380CC4-5D6E-409C-BE32-E72D297353CC}">
              <c16:uniqueId val="{00000000-C412-4097-948C-939E03DEED5C}"/>
            </c:ext>
          </c:extLst>
        </c:ser>
        <c:ser>
          <c:idx val="1"/>
          <c:order val="1"/>
          <c:spPr>
            <a:solidFill>
              <a:srgbClr val="993366"/>
            </a:solidFill>
            <a:ln w="12700">
              <a:solidFill>
                <a:srgbClr val="000000"/>
              </a:solidFill>
              <a:prstDash val="solid"/>
            </a:ln>
          </c:spPr>
          <c:invertIfNegative val="0"/>
          <c:cat>
            <c:strLit>
              <c:ptCount val="7"/>
              <c:pt idx="0">
                <c:v>1990</c:v>
              </c:pt>
              <c:pt idx="1">
                <c:v>1991</c:v>
              </c:pt>
              <c:pt idx="2">
                <c:v>1992</c:v>
              </c:pt>
              <c:pt idx="3">
                <c:v>1993</c:v>
              </c:pt>
              <c:pt idx="4">
                <c:v>1994</c:v>
              </c:pt>
              <c:pt idx="5">
                <c:v>1995</c:v>
              </c:pt>
              <c:pt idx="6">
                <c:v>1996</c:v>
              </c:pt>
            </c:strLit>
          </c:cat>
          <c:val>
            <c:numLit>
              <c:formatCode>General</c:formatCode>
              <c:ptCount val="1"/>
              <c:pt idx="0">
                <c:v>0</c:v>
              </c:pt>
            </c:numLit>
          </c:val>
          <c:extLst>
            <c:ext xmlns:c16="http://schemas.microsoft.com/office/drawing/2014/chart" uri="{C3380CC4-5D6E-409C-BE32-E72D297353CC}">
              <c16:uniqueId val="{00000001-C412-4097-948C-939E03DEED5C}"/>
            </c:ext>
          </c:extLst>
        </c:ser>
        <c:dLbls>
          <c:showLegendKey val="0"/>
          <c:showVal val="0"/>
          <c:showCatName val="0"/>
          <c:showSerName val="0"/>
          <c:showPercent val="0"/>
          <c:showBubbleSize val="0"/>
        </c:dLbls>
        <c:gapWidth val="150"/>
        <c:gapDepth val="0"/>
        <c:shape val="box"/>
        <c:axId val="110418560"/>
        <c:axId val="110424448"/>
        <c:axId val="0"/>
      </c:bar3DChart>
      <c:catAx>
        <c:axId val="11041856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10424448"/>
        <c:crosses val="autoZero"/>
        <c:auto val="0"/>
        <c:lblAlgn val="ctr"/>
        <c:lblOffset val="100"/>
        <c:tickLblSkip val="5"/>
        <c:tickMarkSkip val="1"/>
        <c:noMultiLvlLbl val="0"/>
      </c:catAx>
      <c:valAx>
        <c:axId val="110424448"/>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10418560"/>
        <c:crosses val="autoZero"/>
        <c:crossBetween val="between"/>
      </c:valAx>
      <c:spPr>
        <a:noFill/>
        <a:ln w="25400">
          <a:noFill/>
        </a:ln>
      </c:spPr>
    </c:plotArea>
    <c:legend>
      <c:legendPos val="r"/>
      <c:overlay val="0"/>
      <c:spPr>
        <a:solidFill>
          <a:srgbClr val="FFFFFF"/>
        </a:solidFill>
        <a:ln w="3175">
          <a:solidFill>
            <a:srgbClr val="000000"/>
          </a:solidFill>
          <a:prstDash val="solid"/>
        </a:ln>
      </c:spPr>
      <c:txPr>
        <a:bodyPr/>
        <a:lstStyle/>
        <a:p>
          <a:pPr>
            <a:defRPr lang="es-ES" sz="735" b="0" i="0" u="none" strike="noStrike" baseline="0">
              <a:solidFill>
                <a:srgbClr val="000000"/>
              </a:solidFill>
              <a:latin typeface="Arial"/>
              <a:ea typeface="Arial"/>
              <a:cs typeface="Arial"/>
            </a:defRPr>
          </a:pPr>
          <a:endParaRPr lang="ca-E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oddHeader>&amp;A</c:oddHeader>
      <c:oddFooter>Página &amp;P</c:oddFooter>
    </c:headerFooter>
    <c:pageMargins b="1" l="0.75000000000001465" r="0.75000000000001465" t="1" header="0.511811024" footer="0.51181102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b="1" i="0" u="none" strike="noStrike" baseline="0">
                <a:solidFill>
                  <a:srgbClr val="000000"/>
                </a:solidFill>
                <a:latin typeface="Arial"/>
                <a:ea typeface="Arial"/>
                <a:cs typeface="Arial"/>
              </a:defRPr>
            </a:pPr>
            <a:r>
              <a:rPr lang="es-ES"/>
              <a:t>ESTRUCTURA FINANCIACION CAIB Presupuesto liquidado 1995</a:t>
            </a:r>
          </a:p>
        </c:rich>
      </c:tx>
      <c:layout>
        <c:manualLayout>
          <c:xMode val="edge"/>
          <c:yMode val="edge"/>
          <c:x val="0"/>
          <c:y val="0"/>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pie3DChart>
        <c:varyColors val="1"/>
        <c:ser>
          <c:idx val="0"/>
          <c:order val="0"/>
          <c:spPr>
            <a:solidFill>
              <a:srgbClr val="9999FF"/>
            </a:solidFill>
            <a:ln w="12700">
              <a:solidFill>
                <a:srgbClr val="000000"/>
              </a:solidFill>
              <a:prstDash val="solid"/>
            </a:ln>
          </c:spPr>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00-7C5B-40F9-B8EA-8A1C72814B7A}"/>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1-7C5B-40F9-B8EA-8A1C72814B7A}"/>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02-7C5B-40F9-B8EA-8A1C72814B7A}"/>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ca-E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Lit>
              <c:ptCount val="4"/>
              <c:pt idx="0">
                <c:v>Ingresos tributarios autonómicos</c:v>
              </c:pt>
              <c:pt idx="1">
                <c:v>Porcentaje part. ing. Estado</c:v>
              </c:pt>
              <c:pt idx="2">
                <c:v>Deuda Pública</c:v>
              </c:pt>
              <c:pt idx="3">
                <c:v>Otros</c:v>
              </c:pt>
            </c:strLit>
          </c:cat>
          <c:val>
            <c:numLit>
              <c:formatCode>General</c:formatCode>
              <c:ptCount val="4"/>
              <c:pt idx="0">
                <c:v>0.55100000000000005</c:v>
              </c:pt>
              <c:pt idx="1">
                <c:v>0.254</c:v>
              </c:pt>
              <c:pt idx="2">
                <c:v>7.5999999999999901E-2</c:v>
              </c:pt>
              <c:pt idx="3">
                <c:v>0.118999999999999</c:v>
              </c:pt>
            </c:numLit>
          </c:val>
          <c:extLst>
            <c:ext xmlns:c16="http://schemas.microsoft.com/office/drawing/2014/chart" uri="{C3380CC4-5D6E-409C-BE32-E72D297353CC}">
              <c16:uniqueId val="{00000003-7C5B-40F9-B8EA-8A1C72814B7A}"/>
            </c:ext>
          </c:extLst>
        </c:ser>
        <c:dLbls>
          <c:showLegendKey val="0"/>
          <c:showVal val="0"/>
          <c:showCatName val="0"/>
          <c:showSerName val="0"/>
          <c:showPercent val="1"/>
          <c:showBubbleSize val="0"/>
          <c:showLeaderLines val="0"/>
        </c:dLbls>
      </c:pie3DChart>
      <c:spPr>
        <a:noFill/>
        <a:ln w="25400">
          <a:noFill/>
        </a:ln>
      </c:spPr>
    </c:plotArea>
    <c:legend>
      <c:legendPos val="r"/>
      <c:overlay val="0"/>
      <c:spPr>
        <a:solidFill>
          <a:srgbClr val="FFFFFF"/>
        </a:solidFill>
        <a:ln w="3175">
          <a:solidFill>
            <a:srgbClr val="000000"/>
          </a:solidFill>
          <a:prstDash val="solid"/>
        </a:ln>
      </c:spPr>
      <c:txPr>
        <a:bodyPr/>
        <a:lstStyle/>
        <a:p>
          <a:pPr>
            <a:defRPr lang="es-ES" sz="735" b="0" i="0" u="none" strike="noStrike" baseline="0">
              <a:solidFill>
                <a:srgbClr val="000000"/>
              </a:solidFill>
              <a:latin typeface="Arial"/>
              <a:ea typeface="Arial"/>
              <a:cs typeface="Arial"/>
            </a:defRPr>
          </a:pPr>
          <a:endParaRPr lang="ca-ES"/>
        </a:p>
      </c:txPr>
    </c:legend>
    <c:plotVisOnly val="1"/>
    <c:dispBlanksAs val="zero"/>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oddHeader>&amp;A</c:oddHeader>
      <c:oddFooter>Página &amp;P</c:oddFooter>
    </c:headerFooter>
    <c:pageMargins b="1" l="0.75000000000001465" r="0.75000000000001465" t="1" header="0.511811024" footer="0.51181102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0582482410221412"/>
          <c:y val="6.5203747341801371E-2"/>
        </c:manualLayout>
      </c:layout>
      <c:overlay val="0"/>
      <c:txPr>
        <a:bodyPr/>
        <a:lstStyle/>
        <a:p>
          <a:pPr>
            <a:defRPr sz="1400" b="1" baseline="0"/>
          </a:pPr>
          <a:endParaRPr lang="ca-ES"/>
        </a:p>
      </c:txPr>
    </c:title>
    <c:autoTitleDeleted val="0"/>
    <c:plotArea>
      <c:layout>
        <c:manualLayout>
          <c:layoutTarget val="inner"/>
          <c:xMode val="edge"/>
          <c:yMode val="edge"/>
          <c:x val="0.11060954177039002"/>
          <c:y val="0.16751289795281021"/>
          <c:w val="0.69308183146777724"/>
          <c:h val="0.70558463077092759"/>
        </c:manualLayout>
      </c:layout>
      <c:barChart>
        <c:barDir val="col"/>
        <c:grouping val="clustered"/>
        <c:varyColors val="0"/>
        <c:ser>
          <c:idx val="0"/>
          <c:order val="0"/>
          <c:tx>
            <c:strRef>
              <c:f>'RESULTAT EXERCICI  CAIB'!$A$4:$H$4</c:f>
              <c:strCache>
                <c:ptCount val="8"/>
                <c:pt idx="0">
                  <c:v>RESULTAT DE L'EXERCICI  CAIB</c:v>
                </c:pt>
              </c:strCache>
            </c:strRef>
          </c:tx>
          <c:spPr>
            <a:gradFill rotWithShape="0">
              <a:gsLst>
                <a:gs pos="0">
                  <a:srgbClr val="9999FF">
                    <a:gamma/>
                    <a:shade val="46275"/>
                    <a:invGamma/>
                  </a:srgbClr>
                </a:gs>
                <a:gs pos="50000">
                  <a:srgbClr val="9999FF"/>
                </a:gs>
                <a:gs pos="100000">
                  <a:srgbClr val="9999FF">
                    <a:gamma/>
                    <a:shade val="46275"/>
                    <a:invGamma/>
                  </a:srgbClr>
                </a:gs>
              </a:gsLst>
              <a:lin ang="0" scaled="1"/>
            </a:gradFill>
            <a:ln w="12700">
              <a:solidFill>
                <a:srgbClr val="000080"/>
              </a:solidFill>
              <a:prstDash val="solid"/>
            </a:ln>
          </c:spPr>
          <c:invertIfNegative val="0"/>
          <c:cat>
            <c:numRef>
              <c:f>'RESULTAT EXERCICI  CAIB'!$M$7:$W$7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'RESULTAT EXERCICI  CAIB'!$M$14:$W$14</c:f>
              <c:numCache>
                <c:formatCode>#,##0.00</c:formatCode>
                <c:ptCount val="10"/>
                <c:pt idx="0">
                  <c:v>-9.4411947400003555</c:v>
                </c:pt>
                <c:pt idx="1">
                  <c:v>408.30000000000064</c:v>
                </c:pt>
                <c:pt idx="2">
                  <c:v>203.95999999999913</c:v>
                </c:pt>
                <c:pt idx="3">
                  <c:v>154.12999999999965</c:v>
                </c:pt>
                <c:pt idx="4">
                  <c:v>232.13999999999942</c:v>
                </c:pt>
                <c:pt idx="5">
                  <c:v>264.6200000000008</c:v>
                </c:pt>
                <c:pt idx="6">
                  <c:v>-204.80000000000109</c:v>
                </c:pt>
                <c:pt idx="7">
                  <c:v>-210.46999999999935</c:v>
                </c:pt>
                <c:pt idx="8">
                  <c:v>163.42000000000007</c:v>
                </c:pt>
                <c:pt idx="9">
                  <c:v>363.02999999999975</c:v>
                </c:pt>
              </c:numCache>
            </c:numRef>
          </c:val>
          <c:extLst>
            <c:ext xmlns:c16="http://schemas.microsoft.com/office/drawing/2014/chart" uri="{C3380CC4-5D6E-409C-BE32-E72D297353CC}">
              <c16:uniqueId val="{00000000-3746-482C-9675-01AF011BA4E2}"/>
            </c:ext>
          </c:extLst>
        </c:ser>
        <c:dLbls>
          <c:showLegendKey val="0"/>
          <c:showVal val="0"/>
          <c:showCatName val="0"/>
          <c:showSerName val="0"/>
          <c:showPercent val="0"/>
          <c:showBubbleSize val="0"/>
        </c:dLbls>
        <c:gapWidth val="90"/>
        <c:axId val="134489216"/>
        <c:axId val="134490752"/>
      </c:barChart>
      <c:catAx>
        <c:axId val="134489216"/>
        <c:scaling>
          <c:orientation val="minMax"/>
        </c:scaling>
        <c:delete val="0"/>
        <c:axPos val="b"/>
        <c:numFmt formatCode="General" sourceLinked="1"/>
        <c:majorTickMark val="out"/>
        <c:minorTickMark val="none"/>
        <c:tickLblPos val="low"/>
        <c:spPr>
          <a:ln w="25400">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4490752"/>
        <c:crosses val="autoZero"/>
        <c:auto val="1"/>
        <c:lblAlgn val="ctr"/>
        <c:lblOffset val="100"/>
        <c:tickLblSkip val="1"/>
        <c:tickMarkSkip val="1"/>
        <c:noMultiLvlLbl val="0"/>
      </c:catAx>
      <c:valAx>
        <c:axId val="134490752"/>
        <c:scaling>
          <c:orientation val="minMax"/>
          <c:max val="450"/>
          <c:min val="-550"/>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4489216"/>
        <c:crosses val="autoZero"/>
        <c:crossBetween val="between"/>
        <c:majorUnit val="50"/>
      </c:valAx>
      <c:spPr>
        <a:solidFill>
          <a:schemeClr val="bg2"/>
        </a:solidFill>
        <a:ln w="12700">
          <a:solidFill>
            <a:srgbClr val="808080"/>
          </a:solidFill>
          <a:prstDash val="solid"/>
        </a:ln>
      </c:spPr>
    </c:plotArea>
    <c:legend>
      <c:legendPos val="r"/>
      <c:layout>
        <c:manualLayout>
          <c:xMode val="edge"/>
          <c:yMode val="edge"/>
          <c:x val="0.82406172319872872"/>
          <c:y val="0.42025593574996717"/>
          <c:w val="0.15985713186875689"/>
          <c:h val="0.12436590587466922"/>
        </c:manualLayout>
      </c:layout>
      <c:overlay val="0"/>
      <c:spPr>
        <a:solidFill>
          <a:srgbClr val="FFFFFF"/>
        </a:solidFill>
        <a:ln w="3175">
          <a:solidFill>
            <a:srgbClr val="000000"/>
          </a:solidFill>
          <a:prstDash val="solid"/>
        </a:ln>
      </c:spPr>
      <c:txPr>
        <a:bodyPr/>
        <a:lstStyle/>
        <a:p>
          <a:pPr>
            <a:defRPr lang="es-ES" sz="900" b="0" i="0" u="none" strike="noStrike" baseline="0">
              <a:solidFill>
                <a:srgbClr val="000000"/>
              </a:solidFill>
              <a:latin typeface="Arial" pitchFamily="34" charset="0"/>
              <a:ea typeface="Times New Roman"/>
              <a:cs typeface="Arial" pitchFamily="34" charset="0"/>
            </a:defRPr>
          </a:pPr>
          <a:endParaRPr lang="ca-ES"/>
        </a:p>
      </c:txPr>
    </c:legend>
    <c:plotVisOnly val="1"/>
    <c:dispBlanksAs val="gap"/>
    <c:showDLblsOverMax val="0"/>
  </c:chart>
  <c:spPr>
    <a:gradFill>
      <a:gsLst>
        <a:gs pos="0">
          <a:schemeClr val="accent5">
            <a:lumMod val="20000"/>
            <a:lumOff val="80000"/>
          </a:scheme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97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b="1" i="0" u="none" strike="noStrike" baseline="0">
                <a:solidFill>
                  <a:srgbClr val="000000"/>
                </a:solidFill>
                <a:latin typeface="Arial"/>
                <a:ea typeface="Arial"/>
                <a:cs typeface="Arial"/>
              </a:defRPr>
            </a:pPr>
            <a:r>
              <a:rPr lang="es-ES"/>
              <a:t>EVOLUCION DEL REMANENTE DE TESORERIA</a:t>
            </a:r>
          </a:p>
        </c:rich>
      </c:tx>
      <c:layout>
        <c:manualLayout>
          <c:xMode val="edge"/>
          <c:yMode val="edge"/>
          <c:x val="0"/>
          <c:y val="0"/>
        </c:manualLayout>
      </c:layout>
      <c:overlay val="0"/>
      <c:spPr>
        <a:noFill/>
        <a:ln w="25400">
          <a:noFill/>
        </a:ln>
      </c:spPr>
    </c:title>
    <c:autoTitleDeleted val="0"/>
    <c:view3D>
      <c:rotX val="15"/>
      <c:hPercent val="100"/>
      <c:rotY val="20"/>
      <c:depthPercent val="2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stacked"/>
        <c:varyColors val="0"/>
        <c:ser>
          <c:idx val="0"/>
          <c:order val="0"/>
          <c:spPr>
            <a:solidFill>
              <a:srgbClr val="9999FF"/>
            </a:solidFill>
            <a:ln w="12700">
              <a:solidFill>
                <a:srgbClr val="000000"/>
              </a:solidFill>
              <a:prstDash val="solid"/>
            </a:ln>
          </c:spPr>
          <c:invertIfNegative val="0"/>
          <c:cat>
            <c:strLit>
              <c:ptCount val="7"/>
              <c:pt idx="0">
                <c:v>1990</c:v>
              </c:pt>
              <c:pt idx="1">
                <c:v>1991</c:v>
              </c:pt>
              <c:pt idx="2">
                <c:v>1992</c:v>
              </c:pt>
              <c:pt idx="3">
                <c:v>1993</c:v>
              </c:pt>
              <c:pt idx="4">
                <c:v>1994</c:v>
              </c:pt>
              <c:pt idx="5">
                <c:v>1995</c:v>
              </c:pt>
              <c:pt idx="6">
                <c:v>1996</c:v>
              </c:pt>
            </c:strLit>
          </c:cat>
          <c:val>
            <c:numLit>
              <c:formatCode>General</c:formatCode>
              <c:ptCount val="7"/>
              <c:pt idx="0">
                <c:v>12365</c:v>
              </c:pt>
              <c:pt idx="1">
                <c:v>3245</c:v>
              </c:pt>
              <c:pt idx="2">
                <c:v>-3461</c:v>
              </c:pt>
              <c:pt idx="3">
                <c:v>-2396</c:v>
              </c:pt>
              <c:pt idx="4">
                <c:v>1953</c:v>
              </c:pt>
              <c:pt idx="5">
                <c:v>5258</c:v>
              </c:pt>
              <c:pt idx="6">
                <c:v>5392</c:v>
              </c:pt>
            </c:numLit>
          </c:val>
          <c:extLst>
            <c:ext xmlns:c16="http://schemas.microsoft.com/office/drawing/2014/chart" uri="{C3380CC4-5D6E-409C-BE32-E72D297353CC}">
              <c16:uniqueId val="{00000000-A861-48F8-B702-01D6E15A048F}"/>
            </c:ext>
          </c:extLst>
        </c:ser>
        <c:ser>
          <c:idx val="1"/>
          <c:order val="1"/>
          <c:spPr>
            <a:solidFill>
              <a:srgbClr val="993366"/>
            </a:solidFill>
            <a:ln w="12700">
              <a:solidFill>
                <a:srgbClr val="000000"/>
              </a:solidFill>
              <a:prstDash val="solid"/>
            </a:ln>
          </c:spPr>
          <c:invertIfNegative val="0"/>
          <c:cat>
            <c:strLit>
              <c:ptCount val="7"/>
              <c:pt idx="0">
                <c:v>1990</c:v>
              </c:pt>
              <c:pt idx="1">
                <c:v>1991</c:v>
              </c:pt>
              <c:pt idx="2">
                <c:v>1992</c:v>
              </c:pt>
              <c:pt idx="3">
                <c:v>1993</c:v>
              </c:pt>
              <c:pt idx="4">
                <c:v>1994</c:v>
              </c:pt>
              <c:pt idx="5">
                <c:v>1995</c:v>
              </c:pt>
              <c:pt idx="6">
                <c:v>1996</c:v>
              </c:pt>
            </c:strLit>
          </c:cat>
          <c:val>
            <c:numLit>
              <c:formatCode>General</c:formatCode>
              <c:ptCount val="1"/>
              <c:pt idx="0">
                <c:v>0</c:v>
              </c:pt>
            </c:numLit>
          </c:val>
          <c:extLst>
            <c:ext xmlns:c16="http://schemas.microsoft.com/office/drawing/2014/chart" uri="{C3380CC4-5D6E-409C-BE32-E72D297353CC}">
              <c16:uniqueId val="{00000001-A861-48F8-B702-01D6E15A048F}"/>
            </c:ext>
          </c:extLst>
        </c:ser>
        <c:dLbls>
          <c:showLegendKey val="0"/>
          <c:showVal val="0"/>
          <c:showCatName val="0"/>
          <c:showSerName val="0"/>
          <c:showPercent val="0"/>
          <c:showBubbleSize val="0"/>
        </c:dLbls>
        <c:gapWidth val="150"/>
        <c:gapDepth val="0"/>
        <c:shape val="box"/>
        <c:axId val="112067712"/>
        <c:axId val="112069248"/>
        <c:axId val="0"/>
      </c:bar3DChart>
      <c:catAx>
        <c:axId val="11206771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12069248"/>
        <c:crosses val="autoZero"/>
        <c:auto val="0"/>
        <c:lblAlgn val="ctr"/>
        <c:lblOffset val="100"/>
        <c:tickLblSkip val="5"/>
        <c:tickMarkSkip val="1"/>
        <c:noMultiLvlLbl val="0"/>
      </c:catAx>
      <c:valAx>
        <c:axId val="112069248"/>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12067712"/>
        <c:crosses val="autoZero"/>
        <c:crossBetween val="between"/>
      </c:valAx>
      <c:spPr>
        <a:noFill/>
        <a:ln w="25400">
          <a:noFill/>
        </a:ln>
      </c:spPr>
    </c:plotArea>
    <c:legend>
      <c:legendPos val="r"/>
      <c:overlay val="0"/>
      <c:spPr>
        <a:solidFill>
          <a:srgbClr val="FFFFFF"/>
        </a:solidFill>
        <a:ln w="3175">
          <a:solidFill>
            <a:srgbClr val="000000"/>
          </a:solidFill>
          <a:prstDash val="solid"/>
        </a:ln>
      </c:spPr>
      <c:txPr>
        <a:bodyPr/>
        <a:lstStyle/>
        <a:p>
          <a:pPr>
            <a:defRPr lang="es-ES" sz="735" b="0" i="0" u="none" strike="noStrike" baseline="0">
              <a:solidFill>
                <a:srgbClr val="000000"/>
              </a:solidFill>
              <a:latin typeface="Arial"/>
              <a:ea typeface="Arial"/>
              <a:cs typeface="Arial"/>
            </a:defRPr>
          </a:pPr>
          <a:endParaRPr lang="ca-E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oddHeader>&amp;A</c:oddHeader>
      <c:oddFooter>Página &amp;P</c:oddFooter>
    </c:headerFooter>
    <c:pageMargins b="1" l="0.75000000000001465" r="0.75000000000001465" t="1" header="0.511811024" footer="0.51181102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b="1" i="0" u="none" strike="noStrike" baseline="0">
                <a:solidFill>
                  <a:srgbClr val="000000"/>
                </a:solidFill>
                <a:latin typeface="Arial"/>
                <a:ea typeface="Arial"/>
                <a:cs typeface="Arial"/>
              </a:defRPr>
            </a:pPr>
            <a:r>
              <a:rPr lang="es-ES"/>
              <a:t>ESTRUCTURA FINANCIACION CAIB Presupuesto liquidado 1995</a:t>
            </a:r>
          </a:p>
        </c:rich>
      </c:tx>
      <c:layout>
        <c:manualLayout>
          <c:xMode val="edge"/>
          <c:yMode val="edge"/>
          <c:x val="0"/>
          <c:y val="0"/>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pie3DChart>
        <c:varyColors val="1"/>
        <c:ser>
          <c:idx val="0"/>
          <c:order val="0"/>
          <c:spPr>
            <a:solidFill>
              <a:srgbClr val="9999FF"/>
            </a:solidFill>
            <a:ln w="12700">
              <a:solidFill>
                <a:srgbClr val="000000"/>
              </a:solidFill>
              <a:prstDash val="solid"/>
            </a:ln>
          </c:spPr>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00-4826-450D-985D-1EC5D1A9C91C}"/>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1-4826-450D-985D-1EC5D1A9C91C}"/>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02-4826-450D-985D-1EC5D1A9C91C}"/>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ca-E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Lit>
              <c:ptCount val="4"/>
              <c:pt idx="0">
                <c:v>Ingresos tributarios autonómicos</c:v>
              </c:pt>
              <c:pt idx="1">
                <c:v>Porcentaje part. ing. Estado</c:v>
              </c:pt>
              <c:pt idx="2">
                <c:v>Deuda Pública</c:v>
              </c:pt>
              <c:pt idx="3">
                <c:v>Otros</c:v>
              </c:pt>
            </c:strLit>
          </c:cat>
          <c:val>
            <c:numLit>
              <c:formatCode>General</c:formatCode>
              <c:ptCount val="4"/>
              <c:pt idx="0">
                <c:v>0.55100000000000005</c:v>
              </c:pt>
              <c:pt idx="1">
                <c:v>0.254</c:v>
              </c:pt>
              <c:pt idx="2">
                <c:v>7.5999999999999901E-2</c:v>
              </c:pt>
              <c:pt idx="3">
                <c:v>0.118999999999999</c:v>
              </c:pt>
            </c:numLit>
          </c:val>
          <c:extLst>
            <c:ext xmlns:c16="http://schemas.microsoft.com/office/drawing/2014/chart" uri="{C3380CC4-5D6E-409C-BE32-E72D297353CC}">
              <c16:uniqueId val="{00000003-4826-450D-985D-1EC5D1A9C91C}"/>
            </c:ext>
          </c:extLst>
        </c:ser>
        <c:dLbls>
          <c:showLegendKey val="0"/>
          <c:showVal val="0"/>
          <c:showCatName val="0"/>
          <c:showSerName val="0"/>
          <c:showPercent val="1"/>
          <c:showBubbleSize val="0"/>
          <c:showLeaderLines val="0"/>
        </c:dLbls>
      </c:pie3DChart>
      <c:spPr>
        <a:noFill/>
        <a:ln w="25400">
          <a:noFill/>
        </a:ln>
      </c:spPr>
    </c:plotArea>
    <c:legend>
      <c:legendPos val="r"/>
      <c:overlay val="0"/>
      <c:spPr>
        <a:solidFill>
          <a:srgbClr val="FFFFFF"/>
        </a:solidFill>
        <a:ln w="3175">
          <a:solidFill>
            <a:srgbClr val="000000"/>
          </a:solidFill>
          <a:prstDash val="solid"/>
        </a:ln>
      </c:spPr>
      <c:txPr>
        <a:bodyPr/>
        <a:lstStyle/>
        <a:p>
          <a:pPr>
            <a:defRPr lang="es-ES" sz="735" b="0" i="0" u="none" strike="noStrike" baseline="0">
              <a:solidFill>
                <a:srgbClr val="000000"/>
              </a:solidFill>
              <a:latin typeface="Arial"/>
              <a:ea typeface="Arial"/>
              <a:cs typeface="Arial"/>
            </a:defRPr>
          </a:pPr>
          <a:endParaRPr lang="ca-ES"/>
        </a:p>
      </c:txPr>
    </c:legend>
    <c:plotVisOnly val="1"/>
    <c:dispBlanksAs val="zero"/>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oddHeader>&amp;A</c:oddHeader>
      <c:oddFooter>Página &amp;P</c:oddFooter>
    </c:headerFooter>
    <c:pageMargins b="1" l="0.75000000000001465" r="0.75000000000001465" t="1" header="0.511811024" footer="0.511811024"/>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25" b="1" i="0" u="none" strike="noStrike" baseline="0">
                <a:solidFill>
                  <a:srgbClr val="000000"/>
                </a:solidFill>
                <a:latin typeface="Times New Roman"/>
                <a:ea typeface="Times New Roman"/>
                <a:cs typeface="Times New Roman"/>
              </a:defRPr>
            </a:pPr>
            <a:r>
              <a:rPr lang="es-ES"/>
              <a:t>RESULTAT</a:t>
            </a:r>
            <a:r>
              <a:rPr lang="es-ES" baseline="0"/>
              <a:t> </a:t>
            </a:r>
            <a:r>
              <a:rPr lang="es-ES"/>
              <a:t>NO FINANCER</a:t>
            </a:r>
          </a:p>
        </c:rich>
      </c:tx>
      <c:layout>
        <c:manualLayout>
          <c:xMode val="edge"/>
          <c:yMode val="edge"/>
          <c:x val="0.34225985370842865"/>
          <c:y val="7.1077610981630651E-2"/>
        </c:manualLayout>
      </c:layout>
      <c:overlay val="0"/>
      <c:spPr>
        <a:noFill/>
        <a:ln w="25400">
          <a:noFill/>
        </a:ln>
      </c:spPr>
    </c:title>
    <c:autoTitleDeleted val="0"/>
    <c:plotArea>
      <c:layout>
        <c:manualLayout>
          <c:layoutTarget val="inner"/>
          <c:xMode val="edge"/>
          <c:yMode val="edge"/>
          <c:x val="0.14866328079548527"/>
          <c:y val="0.20792079207920791"/>
          <c:w val="0.67940150828560164"/>
          <c:h val="0.67326732673267298"/>
        </c:manualLayout>
      </c:layout>
      <c:barChart>
        <c:barDir val="col"/>
        <c:grouping val="clustered"/>
        <c:varyColors val="0"/>
        <c:ser>
          <c:idx val="0"/>
          <c:order val="0"/>
          <c:tx>
            <c:strRef>
              <c:f>'RESULTAT NO FINANCER CAIB'!$A$4:$H$4</c:f>
              <c:strCache>
                <c:ptCount val="8"/>
                <c:pt idx="0">
                  <c:v>RESULTAT NO FINANCER CAIB</c:v>
                </c:pt>
              </c:strCache>
            </c:strRef>
          </c:tx>
          <c:spPr>
            <a:gradFill rotWithShape="0">
              <a:gsLst>
                <a:gs pos="0">
                  <a:srgbClr val="9999FF">
                    <a:gamma/>
                    <a:shade val="46275"/>
                    <a:invGamma/>
                  </a:srgbClr>
                </a:gs>
                <a:gs pos="50000">
                  <a:srgbClr val="9999FF"/>
                </a:gs>
                <a:gs pos="100000">
                  <a:srgbClr val="9999FF">
                    <a:gamma/>
                    <a:shade val="46275"/>
                    <a:invGamma/>
                  </a:srgbClr>
                </a:gs>
              </a:gsLst>
              <a:lin ang="0" scaled="1"/>
            </a:gradFill>
            <a:ln w="12700">
              <a:solidFill>
                <a:srgbClr val="000080"/>
              </a:solidFill>
              <a:prstDash val="solid"/>
            </a:ln>
          </c:spPr>
          <c:invertIfNegative val="0"/>
          <c:cat>
            <c:numRef>
              <c:f>'RESULTAT NO FINANCER CAIB'!$M$7:$W$7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'RESULTAT NO FINANCER CAIB'!$M$14:$W$14</c:f>
              <c:numCache>
                <c:formatCode>#,##0.00</c:formatCode>
                <c:ptCount val="10"/>
                <c:pt idx="0">
                  <c:v>-1027.772321930001</c:v>
                </c:pt>
                <c:pt idx="1">
                  <c:v>-374.41999999999962</c:v>
                </c:pt>
                <c:pt idx="2">
                  <c:v>-402.83000000000038</c:v>
                </c:pt>
                <c:pt idx="3">
                  <c:v>-374.07000000000016</c:v>
                </c:pt>
                <c:pt idx="4">
                  <c:v>-206.61999999999989</c:v>
                </c:pt>
                <c:pt idx="5">
                  <c:v>-261.52999999999975</c:v>
                </c:pt>
                <c:pt idx="6">
                  <c:v>-230.48000000000093</c:v>
                </c:pt>
                <c:pt idx="7">
                  <c:v>-412.08999999999924</c:v>
                </c:pt>
                <c:pt idx="8">
                  <c:v>-115.23000000000047</c:v>
                </c:pt>
                <c:pt idx="9">
                  <c:v>395</c:v>
                </c:pt>
              </c:numCache>
            </c:numRef>
          </c:val>
          <c:extLst>
            <c:ext xmlns:c16="http://schemas.microsoft.com/office/drawing/2014/chart" uri="{C3380CC4-5D6E-409C-BE32-E72D297353CC}">
              <c16:uniqueId val="{00000000-79B1-469B-958C-EC2773461A18}"/>
            </c:ext>
          </c:extLst>
        </c:ser>
        <c:dLbls>
          <c:showLegendKey val="0"/>
          <c:showVal val="0"/>
          <c:showCatName val="0"/>
          <c:showSerName val="0"/>
          <c:showPercent val="0"/>
          <c:showBubbleSize val="0"/>
        </c:dLbls>
        <c:gapWidth val="90"/>
        <c:axId val="135077248"/>
        <c:axId val="135091328"/>
      </c:barChart>
      <c:catAx>
        <c:axId val="135077248"/>
        <c:scaling>
          <c:orientation val="minMax"/>
        </c:scaling>
        <c:delete val="0"/>
        <c:axPos val="b"/>
        <c:numFmt formatCode="General" sourceLinked="1"/>
        <c:majorTickMark val="out"/>
        <c:minorTickMark val="none"/>
        <c:tickLblPos val="low"/>
        <c:spPr>
          <a:ln w="25400">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5091328"/>
        <c:crosses val="autoZero"/>
        <c:auto val="1"/>
        <c:lblAlgn val="ctr"/>
        <c:lblOffset val="100"/>
        <c:tickLblSkip val="1"/>
        <c:tickMarkSkip val="1"/>
        <c:noMultiLvlLbl val="0"/>
      </c:catAx>
      <c:valAx>
        <c:axId val="135091328"/>
        <c:scaling>
          <c:orientation val="minMax"/>
          <c:max val="300"/>
          <c:min val="-1100"/>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5077248"/>
        <c:crosses val="autoZero"/>
        <c:crossBetween val="between"/>
        <c:majorUnit val="100"/>
      </c:valAx>
      <c:spPr>
        <a:solidFill>
          <a:schemeClr val="bg2"/>
        </a:solidFill>
        <a:ln w="12700">
          <a:solidFill>
            <a:srgbClr val="808080"/>
          </a:solidFill>
          <a:prstDash val="solid"/>
        </a:ln>
      </c:spPr>
    </c:plotArea>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9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1923827039868247"/>
          <c:y val="3.3678756476683995E-2"/>
        </c:manualLayout>
      </c:layout>
      <c:overlay val="0"/>
      <c:spPr>
        <a:noFill/>
        <a:ln w="25400">
          <a:noFill/>
        </a:ln>
      </c:spPr>
      <c:txPr>
        <a:bodyPr/>
        <a:lstStyle/>
        <a:p>
          <a:pPr>
            <a:defRPr sz="1400" b="1" i="0" u="none" strike="noStrike" baseline="0">
              <a:solidFill>
                <a:srgbClr val="000000"/>
              </a:solidFill>
              <a:latin typeface="Times New Roman"/>
              <a:ea typeface="Times New Roman"/>
              <a:cs typeface="Times New Roman"/>
            </a:defRPr>
          </a:pPr>
          <a:endParaRPr lang="ca-ES"/>
        </a:p>
      </c:txPr>
    </c:title>
    <c:autoTitleDeleted val="0"/>
    <c:plotArea>
      <c:layout>
        <c:manualLayout>
          <c:layoutTarget val="inner"/>
          <c:xMode val="edge"/>
          <c:yMode val="edge"/>
          <c:x val="0.21182266009852188"/>
          <c:y val="0.170984455958549"/>
          <c:w val="0.62931034482758597"/>
          <c:h val="0.68393782383419965"/>
        </c:manualLayout>
      </c:layout>
      <c:barChart>
        <c:barDir val="col"/>
        <c:grouping val="clustered"/>
        <c:varyColors val="0"/>
        <c:ser>
          <c:idx val="0"/>
          <c:order val="0"/>
          <c:tx>
            <c:strRef>
              <c:f>'ROMANENT TRESORERIA CAIB'!$A$4:$G$4</c:f>
              <c:strCache>
                <c:ptCount val="7"/>
                <c:pt idx="0">
                  <c:v>ROMANENT DE TRESORERIA CAIB</c:v>
                </c:pt>
              </c:strCache>
            </c:strRef>
          </c:tx>
          <c:spPr>
            <a:gradFill rotWithShape="0">
              <a:gsLst>
                <a:gs pos="0">
                  <a:srgbClr val="9999FF">
                    <a:gamma/>
                    <a:shade val="46275"/>
                    <a:invGamma/>
                  </a:srgbClr>
                </a:gs>
                <a:gs pos="50000">
                  <a:srgbClr val="9999FF"/>
                </a:gs>
                <a:gs pos="100000">
                  <a:srgbClr val="9999FF">
                    <a:gamma/>
                    <a:shade val="46275"/>
                    <a:invGamma/>
                  </a:srgbClr>
                </a:gs>
              </a:gsLst>
              <a:lin ang="0" scaled="1"/>
            </a:gradFill>
            <a:ln w="12700">
              <a:solidFill>
                <a:srgbClr val="000080"/>
              </a:solidFill>
              <a:prstDash val="solid"/>
            </a:ln>
          </c:spPr>
          <c:invertIfNegative val="0"/>
          <c:dPt>
            <c:idx val="4"/>
            <c:invertIfNegative val="0"/>
            <c:bubble3D val="0"/>
            <c:spPr>
              <a:gradFill rotWithShape="0">
                <a:gsLst>
                  <a:gs pos="0">
                    <a:srgbClr val="9999FF">
                      <a:gamma/>
                      <a:shade val="46275"/>
                      <a:invGamma/>
                    </a:srgbClr>
                  </a:gs>
                  <a:gs pos="50000">
                    <a:srgbClr val="9999FF"/>
                  </a:gs>
                  <a:gs pos="100000">
                    <a:srgbClr val="9999FF">
                      <a:gamma/>
                      <a:shade val="46275"/>
                      <a:invGamma/>
                    </a:srgbClr>
                  </a:gs>
                </a:gsLst>
                <a:lin ang="0" scaled="1"/>
              </a:gradFill>
              <a:ln w="12700">
                <a:solidFill>
                  <a:srgbClr val="000080"/>
                </a:solidFill>
                <a:prstDash val="solid"/>
              </a:ln>
            </c:spPr>
            <c:extLst>
              <c:ext xmlns:c16="http://schemas.microsoft.com/office/drawing/2014/chart" uri="{C3380CC4-5D6E-409C-BE32-E72D297353CC}">
                <c16:uniqueId val="{00000000-8620-42FE-931E-4052F3DA0E29}"/>
              </c:ext>
            </c:extLst>
          </c:dPt>
          <c:cat>
            <c:numRef>
              <c:f>'ROMANENT TRESORERIA CAIB'!$M$8:$W$8</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'ROMANENT TRESORERIA CAIB'!$M$10:$W$10</c:f>
              <c:numCache>
                <c:formatCode>General</c:formatCode>
                <c:ptCount val="10"/>
                <c:pt idx="0">
                  <c:v>-637.66</c:v>
                </c:pt>
                <c:pt idx="1">
                  <c:v>-245.4</c:v>
                </c:pt>
                <c:pt idx="2">
                  <c:v>-66.959999999999994</c:v>
                </c:pt>
                <c:pt idx="3">
                  <c:v>46.87</c:v>
                </c:pt>
                <c:pt idx="4">
                  <c:v>253.64</c:v>
                </c:pt>
                <c:pt idx="5">
                  <c:v>493.85</c:v>
                </c:pt>
                <c:pt idx="6">
                  <c:v>-330.09</c:v>
                </c:pt>
                <c:pt idx="7">
                  <c:v>-570.13</c:v>
                </c:pt>
                <c:pt idx="8">
                  <c:v>-473.88</c:v>
                </c:pt>
                <c:pt idx="9">
                  <c:v>-563.42999999999995</c:v>
                </c:pt>
              </c:numCache>
            </c:numRef>
          </c:val>
          <c:extLst>
            <c:ext xmlns:c16="http://schemas.microsoft.com/office/drawing/2014/chart" uri="{C3380CC4-5D6E-409C-BE32-E72D297353CC}">
              <c16:uniqueId val="{00000001-8620-42FE-931E-4052F3DA0E29}"/>
            </c:ext>
          </c:extLst>
        </c:ser>
        <c:dLbls>
          <c:showLegendKey val="0"/>
          <c:showVal val="0"/>
          <c:showCatName val="0"/>
          <c:showSerName val="0"/>
          <c:showPercent val="0"/>
          <c:showBubbleSize val="0"/>
        </c:dLbls>
        <c:gapWidth val="90"/>
        <c:axId val="134441216"/>
        <c:axId val="134467584"/>
      </c:barChart>
      <c:catAx>
        <c:axId val="13444121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4467584"/>
        <c:crosses val="autoZero"/>
        <c:auto val="1"/>
        <c:lblAlgn val="ctr"/>
        <c:lblOffset val="100"/>
        <c:tickLblSkip val="1"/>
        <c:tickMarkSkip val="1"/>
        <c:noMultiLvlLbl val="0"/>
      </c:catAx>
      <c:valAx>
        <c:axId val="134467584"/>
        <c:scaling>
          <c:orientation val="minMax"/>
          <c:max val="500"/>
          <c:min val="-700"/>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4441216"/>
        <c:crosses val="autoZero"/>
        <c:crossBetween val="between"/>
        <c:majorUnit val="100"/>
      </c:valAx>
      <c:spPr>
        <a:solidFill>
          <a:schemeClr val="bg2"/>
        </a:solidFill>
        <a:ln w="12700">
          <a:solidFill>
            <a:srgbClr val="808080"/>
          </a:solidFill>
          <a:prstDash val="solid"/>
        </a:ln>
      </c:spPr>
    </c:plotArea>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92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952094230297727E-2"/>
          <c:y val="0.13150684931506801"/>
          <c:w val="0.67672188976381142"/>
          <c:h val="0.74794520547949006"/>
        </c:manualLayout>
      </c:layout>
      <c:barChart>
        <c:barDir val="col"/>
        <c:grouping val="clustered"/>
        <c:varyColors val="0"/>
        <c:ser>
          <c:idx val="0"/>
          <c:order val="0"/>
          <c:tx>
            <c:strRef>
              <c:f>'INVERSIONS - ENDEUTAMENT CAIB '!$A$9</c:f>
              <c:strCache>
                <c:ptCount val="1"/>
                <c:pt idx="0">
                  <c:v>OBLIGACIONS CAPÍTOL 6</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'INVERSIONS - ENDEUTAMENT CAIB '!$M$6:$W$6</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'INVERSIONS - ENDEUTAMENT CAIB '!$M$9:$W$9</c:f>
              <c:numCache>
                <c:formatCode>#,##0.00</c:formatCode>
                <c:ptCount val="10"/>
                <c:pt idx="0">
                  <c:v>103.01</c:v>
                </c:pt>
                <c:pt idx="1">
                  <c:v>119.23</c:v>
                </c:pt>
                <c:pt idx="2">
                  <c:v>109.12</c:v>
                </c:pt>
                <c:pt idx="3">
                  <c:v>113.57</c:v>
                </c:pt>
                <c:pt idx="4">
                  <c:v>122.05</c:v>
                </c:pt>
                <c:pt idx="5">
                  <c:v>115.57</c:v>
                </c:pt>
                <c:pt idx="6">
                  <c:v>250.83</c:v>
                </c:pt>
                <c:pt idx="7">
                  <c:v>199.72</c:v>
                </c:pt>
                <c:pt idx="8">
                  <c:v>153.33000000000001</c:v>
                </c:pt>
                <c:pt idx="9">
                  <c:v>131.32</c:v>
                </c:pt>
              </c:numCache>
            </c:numRef>
          </c:val>
          <c:extLst>
            <c:ext xmlns:c16="http://schemas.microsoft.com/office/drawing/2014/chart" uri="{C3380CC4-5D6E-409C-BE32-E72D297353CC}">
              <c16:uniqueId val="{00000000-9933-41DC-B4C2-79E673384394}"/>
            </c:ext>
          </c:extLst>
        </c:ser>
        <c:ser>
          <c:idx val="1"/>
          <c:order val="1"/>
          <c:tx>
            <c:strRef>
              <c:f>'INVERSIONS - ENDEUTAMENT CAIB '!$A$10</c:f>
              <c:strCache>
                <c:ptCount val="1"/>
                <c:pt idx="0">
                  <c:v>INGRESSOS CAPÍTOL 9</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'INVERSIONS - ENDEUTAMENT CAIB '!$M$6:$W$6</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'INVERSIONS - ENDEUTAMENT CAIB '!$M$10:$W$10</c:f>
              <c:numCache>
                <c:formatCode>#,##0.00</c:formatCode>
                <c:ptCount val="10"/>
                <c:pt idx="0">
                  <c:v>1668.7841842400001</c:v>
                </c:pt>
                <c:pt idx="1">
                  <c:v>1268.17</c:v>
                </c:pt>
                <c:pt idx="2">
                  <c:v>1610.45</c:v>
                </c:pt>
                <c:pt idx="3">
                  <c:v>1175.99</c:v>
                </c:pt>
                <c:pt idx="4">
                  <c:v>1276.5</c:v>
                </c:pt>
                <c:pt idx="5">
                  <c:v>1327.14</c:v>
                </c:pt>
                <c:pt idx="6">
                  <c:v>889.61</c:v>
                </c:pt>
                <c:pt idx="7">
                  <c:v>1193.94</c:v>
                </c:pt>
                <c:pt idx="8">
                  <c:v>1752.5</c:v>
                </c:pt>
                <c:pt idx="9">
                  <c:v>1125.71</c:v>
                </c:pt>
              </c:numCache>
            </c:numRef>
          </c:val>
          <c:extLst>
            <c:ext xmlns:c16="http://schemas.microsoft.com/office/drawing/2014/chart" uri="{C3380CC4-5D6E-409C-BE32-E72D297353CC}">
              <c16:uniqueId val="{00000001-9933-41DC-B4C2-79E673384394}"/>
            </c:ext>
          </c:extLst>
        </c:ser>
        <c:dLbls>
          <c:showLegendKey val="0"/>
          <c:showVal val="0"/>
          <c:showCatName val="0"/>
          <c:showSerName val="0"/>
          <c:showPercent val="0"/>
          <c:showBubbleSize val="0"/>
        </c:dLbls>
        <c:gapWidth val="60"/>
        <c:axId val="135034368"/>
        <c:axId val="135035904"/>
      </c:barChart>
      <c:catAx>
        <c:axId val="1350343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Times New Roman"/>
              </a:defRPr>
            </a:pPr>
            <a:endParaRPr lang="ca-ES"/>
          </a:p>
        </c:txPr>
        <c:crossAx val="135035904"/>
        <c:crosses val="autoZero"/>
        <c:auto val="1"/>
        <c:lblAlgn val="ctr"/>
        <c:lblOffset val="100"/>
        <c:tickLblSkip val="1"/>
        <c:tickMarkSkip val="1"/>
        <c:noMultiLvlLbl val="0"/>
      </c:catAx>
      <c:valAx>
        <c:axId val="135035904"/>
        <c:scaling>
          <c:orientation val="minMax"/>
          <c:max val="1800"/>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Times New Roman"/>
              </a:defRPr>
            </a:pPr>
            <a:endParaRPr lang="ca-ES"/>
          </a:p>
        </c:txPr>
        <c:crossAx val="135034368"/>
        <c:crosses val="autoZero"/>
        <c:crossBetween val="between"/>
        <c:majorUnit val="100"/>
      </c:valAx>
      <c:spPr>
        <a:solidFill>
          <a:schemeClr val="bg2"/>
        </a:solidFill>
        <a:ln w="12700">
          <a:solidFill>
            <a:srgbClr val="808080"/>
          </a:solidFill>
          <a:prstDash val="solid"/>
        </a:ln>
      </c:spPr>
    </c:plotArea>
    <c:legend>
      <c:legendPos val="r"/>
      <c:layout>
        <c:manualLayout>
          <c:xMode val="edge"/>
          <c:yMode val="edge"/>
          <c:x val="0.80313527251939598"/>
          <c:y val="0.33698617839042633"/>
          <c:w val="0.18608031542519676"/>
          <c:h val="0.27671223994862931"/>
        </c:manualLayout>
      </c:layout>
      <c:overlay val="0"/>
      <c:spPr>
        <a:solidFill>
          <a:srgbClr val="FFFFFF"/>
        </a:solidFill>
        <a:ln w="3175">
          <a:solidFill>
            <a:srgbClr val="000000"/>
          </a:solidFill>
          <a:prstDash val="solid"/>
        </a:ln>
      </c:spPr>
      <c:txPr>
        <a:bodyPr/>
        <a:lstStyle/>
        <a:p>
          <a:pPr>
            <a:defRPr lang="es-ES" sz="1000"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77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872475998000225E-2"/>
          <c:y val="8.7248465106677248E-2"/>
          <c:w val="0.70251651923591629"/>
          <c:h val="0.76174621458524117"/>
        </c:manualLayout>
      </c:layout>
      <c:barChart>
        <c:barDir val="col"/>
        <c:grouping val="clustered"/>
        <c:varyColors val="0"/>
        <c:ser>
          <c:idx val="0"/>
          <c:order val="0"/>
          <c:tx>
            <c:strRef>
              <c:f>'LIQUIDACIO DESPESES CAIB '!$C$8</c:f>
              <c:strCache>
                <c:ptCount val="1"/>
                <c:pt idx="0">
                  <c:v>CRED. DEFINITIU</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'LIQUIDACIO DESPESES CAIB '!$B$22:$B$32</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'LIQUIDACIO DESPESES CAIB '!$C$22:$C$32</c:f>
              <c:numCache>
                <c:formatCode>#,##0.00</c:formatCode>
                <c:ptCount val="10"/>
                <c:pt idx="0">
                  <c:v>5976.76</c:v>
                </c:pt>
                <c:pt idx="1">
                  <c:v>3755.53</c:v>
                </c:pt>
                <c:pt idx="2">
                  <c:v>4368.97</c:v>
                </c:pt>
                <c:pt idx="3">
                  <c:v>4247.3599999999997</c:v>
                </c:pt>
                <c:pt idx="4">
                  <c:v>4425.54</c:v>
                </c:pt>
                <c:pt idx="5">
                  <c:v>4869.53</c:v>
                </c:pt>
                <c:pt idx="6">
                  <c:v>5258.64</c:v>
                </c:pt>
                <c:pt idx="7">
                  <c:v>5642.09</c:v>
                </c:pt>
                <c:pt idx="8">
                  <c:v>6472.01</c:v>
                </c:pt>
                <c:pt idx="9">
                  <c:v>7027.41</c:v>
                </c:pt>
              </c:numCache>
            </c:numRef>
          </c:val>
          <c:extLst>
            <c:ext xmlns:c16="http://schemas.microsoft.com/office/drawing/2014/chart" uri="{C3380CC4-5D6E-409C-BE32-E72D297353CC}">
              <c16:uniqueId val="{00000000-50FF-4627-BB96-02B5CDC54D7D}"/>
            </c:ext>
          </c:extLst>
        </c:ser>
        <c:ser>
          <c:idx val="1"/>
          <c:order val="1"/>
          <c:tx>
            <c:strRef>
              <c:f>'LIQUIDACIO DESPESES CAIB '!$D$8</c:f>
              <c:strCache>
                <c:ptCount val="1"/>
                <c:pt idx="0">
                  <c:v>OBLIG. RECON.</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'LIQUIDACIO DESPESES CAIB '!$B$22:$B$32</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'LIQUIDACIO DESPESES CAIB '!$D$22:$D$32</c:f>
              <c:numCache>
                <c:formatCode>#,##0.00</c:formatCode>
                <c:ptCount val="10"/>
                <c:pt idx="0">
                  <c:v>5628.32</c:v>
                </c:pt>
                <c:pt idx="1">
                  <c:v>3579.92</c:v>
                </c:pt>
                <c:pt idx="2">
                  <c:v>4186.4799999999996</c:v>
                </c:pt>
                <c:pt idx="3">
                  <c:v>3998.36</c:v>
                </c:pt>
                <c:pt idx="4">
                  <c:v>4307.2700000000004</c:v>
                </c:pt>
                <c:pt idx="5">
                  <c:v>4697.95</c:v>
                </c:pt>
                <c:pt idx="6">
                  <c:v>5021.42</c:v>
                </c:pt>
                <c:pt idx="7">
                  <c:v>5429.68</c:v>
                </c:pt>
                <c:pt idx="8">
                  <c:v>6146.11</c:v>
                </c:pt>
                <c:pt idx="9">
                  <c:v>6706</c:v>
                </c:pt>
              </c:numCache>
            </c:numRef>
          </c:val>
          <c:extLst>
            <c:ext xmlns:c16="http://schemas.microsoft.com/office/drawing/2014/chart" uri="{C3380CC4-5D6E-409C-BE32-E72D297353CC}">
              <c16:uniqueId val="{00000001-50FF-4627-BB96-02B5CDC54D7D}"/>
            </c:ext>
          </c:extLst>
        </c:ser>
        <c:dLbls>
          <c:showLegendKey val="0"/>
          <c:showVal val="0"/>
          <c:showCatName val="0"/>
          <c:showSerName val="0"/>
          <c:showPercent val="0"/>
          <c:showBubbleSize val="0"/>
        </c:dLbls>
        <c:gapWidth val="60"/>
        <c:axId val="104711680"/>
        <c:axId val="104713216"/>
      </c:barChart>
      <c:catAx>
        <c:axId val="1047116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000" b="1" i="0" u="none" strike="noStrike" baseline="0">
                <a:solidFill>
                  <a:srgbClr val="000000"/>
                </a:solidFill>
                <a:latin typeface="Arial" pitchFamily="34" charset="0"/>
                <a:ea typeface="Times New Roman"/>
                <a:cs typeface="Times New Roman"/>
              </a:defRPr>
            </a:pPr>
            <a:endParaRPr lang="ca-ES"/>
          </a:p>
        </c:txPr>
        <c:crossAx val="104713216"/>
        <c:crosses val="autoZero"/>
        <c:auto val="1"/>
        <c:lblAlgn val="ctr"/>
        <c:lblOffset val="100"/>
        <c:tickLblSkip val="1"/>
        <c:tickMarkSkip val="1"/>
        <c:noMultiLvlLbl val="0"/>
      </c:catAx>
      <c:valAx>
        <c:axId val="104713216"/>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000" b="1" i="0" u="none" strike="noStrike" baseline="0">
                <a:solidFill>
                  <a:srgbClr val="000000"/>
                </a:solidFill>
                <a:latin typeface="Arial" pitchFamily="34" charset="0"/>
                <a:ea typeface="Times New Roman"/>
                <a:cs typeface="Times New Roman"/>
              </a:defRPr>
            </a:pPr>
            <a:endParaRPr lang="ca-ES"/>
          </a:p>
        </c:txPr>
        <c:crossAx val="104711680"/>
        <c:crosses val="autoZero"/>
        <c:crossBetween val="between"/>
      </c:valAx>
      <c:spPr>
        <a:solidFill>
          <a:schemeClr val="bg2"/>
        </a:solidFill>
        <a:ln w="12700">
          <a:solidFill>
            <a:schemeClr val="tx1"/>
          </a:solidFill>
          <a:prstDash val="solid"/>
        </a:ln>
      </c:spPr>
    </c:plotArea>
    <c:legend>
      <c:legendPos val="r"/>
      <c:layout>
        <c:manualLayout>
          <c:xMode val="edge"/>
          <c:yMode val="edge"/>
          <c:x val="0.80851187719182205"/>
          <c:y val="0.39932956367032607"/>
          <c:w val="0.18014218810884144"/>
          <c:h val="0.13758424492240806"/>
        </c:manualLayout>
      </c:layout>
      <c:overlay val="0"/>
      <c:spPr>
        <a:solidFill>
          <a:srgbClr val="FFFFFF"/>
        </a:solidFill>
        <a:ln w="3175">
          <a:solidFill>
            <a:srgbClr val="000000"/>
          </a:solidFill>
          <a:prstDash val="solid"/>
        </a:ln>
      </c:spPr>
      <c:txPr>
        <a:bodyPr/>
        <a:lstStyle/>
        <a:p>
          <a:pPr>
            <a:defRPr lang="es-ES" sz="825"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07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332565987391"/>
          <c:y val="6.7988603562321892E-2"/>
          <c:w val="0.71383954112477865"/>
          <c:h val="0.82436260623229396"/>
        </c:manualLayout>
      </c:layout>
      <c:barChart>
        <c:barDir val="col"/>
        <c:grouping val="clustered"/>
        <c:varyColors val="0"/>
        <c:ser>
          <c:idx val="0"/>
          <c:order val="0"/>
          <c:tx>
            <c:strRef>
              <c:f>'CAPITOL 9 CAIB'!$A$10</c:f>
              <c:strCache>
                <c:ptCount val="1"/>
                <c:pt idx="0">
                  <c:v>CAP. 9 DESPESES</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'CAPITOL 9 CAIB'!$M$7:$W$7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'CAPITOL 9 CAIB'!$M$10:$W$10</c:f>
              <c:numCache>
                <c:formatCode>#,##0.00</c:formatCode>
                <c:ptCount val="10"/>
                <c:pt idx="0">
                  <c:v>480.89786333000001</c:v>
                </c:pt>
                <c:pt idx="1">
                  <c:v>485.45</c:v>
                </c:pt>
                <c:pt idx="2">
                  <c:v>675.74</c:v>
                </c:pt>
                <c:pt idx="3">
                  <c:v>501.76</c:v>
                </c:pt>
                <c:pt idx="4">
                  <c:v>709.61</c:v>
                </c:pt>
                <c:pt idx="5">
                  <c:v>804.89</c:v>
                </c:pt>
                <c:pt idx="6">
                  <c:v>860.06</c:v>
                </c:pt>
                <c:pt idx="7">
                  <c:v>988.02</c:v>
                </c:pt>
                <c:pt idx="8">
                  <c:v>1475.92</c:v>
                </c:pt>
                <c:pt idx="9">
                  <c:v>1163.99</c:v>
                </c:pt>
              </c:numCache>
            </c:numRef>
          </c:val>
          <c:extLst>
            <c:ext xmlns:c16="http://schemas.microsoft.com/office/drawing/2014/chart" uri="{C3380CC4-5D6E-409C-BE32-E72D297353CC}">
              <c16:uniqueId val="{00000000-84BB-456A-BA47-F8CEFBAC0053}"/>
            </c:ext>
          </c:extLst>
        </c:ser>
        <c:ser>
          <c:idx val="2"/>
          <c:order val="1"/>
          <c:tx>
            <c:strRef>
              <c:f>'CAPITOL 9 CAIB'!$A$11</c:f>
              <c:strCache>
                <c:ptCount val="1"/>
                <c:pt idx="0">
                  <c:v>CAP. 9 INGRESSOS</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'CAPITOL 9 CAIB'!$M$7:$W$7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'CAPITOL 9 CAIB'!$M$11:$W$11</c:f>
              <c:numCache>
                <c:formatCode>#,##0.00</c:formatCode>
                <c:ptCount val="10"/>
                <c:pt idx="0">
                  <c:v>1668.7841842400001</c:v>
                </c:pt>
                <c:pt idx="1">
                  <c:v>1268.17</c:v>
                </c:pt>
                <c:pt idx="2">
                  <c:v>1610.45</c:v>
                </c:pt>
                <c:pt idx="3">
                  <c:v>1175.99</c:v>
                </c:pt>
                <c:pt idx="4">
                  <c:v>1276.5</c:v>
                </c:pt>
                <c:pt idx="5">
                  <c:v>1327.14</c:v>
                </c:pt>
                <c:pt idx="6">
                  <c:v>889.61</c:v>
                </c:pt>
                <c:pt idx="7">
                  <c:v>1193.94</c:v>
                </c:pt>
                <c:pt idx="8">
                  <c:v>1752.5</c:v>
                </c:pt>
                <c:pt idx="9">
                  <c:v>1125.71</c:v>
                </c:pt>
              </c:numCache>
            </c:numRef>
          </c:val>
          <c:extLst>
            <c:ext xmlns:c16="http://schemas.microsoft.com/office/drawing/2014/chart" uri="{C3380CC4-5D6E-409C-BE32-E72D297353CC}">
              <c16:uniqueId val="{00000001-84BB-456A-BA47-F8CEFBAC0053}"/>
            </c:ext>
          </c:extLst>
        </c:ser>
        <c:dLbls>
          <c:showLegendKey val="0"/>
          <c:showVal val="0"/>
          <c:showCatName val="0"/>
          <c:showSerName val="0"/>
          <c:showPercent val="0"/>
          <c:showBubbleSize val="0"/>
        </c:dLbls>
        <c:gapWidth val="60"/>
        <c:axId val="135402240"/>
        <c:axId val="135403776"/>
      </c:barChart>
      <c:catAx>
        <c:axId val="13540224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Times New Roman"/>
              </a:defRPr>
            </a:pPr>
            <a:endParaRPr lang="ca-ES"/>
          </a:p>
        </c:txPr>
        <c:crossAx val="135403776"/>
        <c:crosses val="autoZero"/>
        <c:auto val="1"/>
        <c:lblAlgn val="ctr"/>
        <c:lblOffset val="100"/>
        <c:tickLblSkip val="1"/>
        <c:tickMarkSkip val="1"/>
        <c:noMultiLvlLbl val="0"/>
      </c:catAx>
      <c:valAx>
        <c:axId val="135403776"/>
        <c:scaling>
          <c:orientation val="minMax"/>
          <c:max val="1800"/>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5402240"/>
        <c:crosses val="autoZero"/>
        <c:crossBetween val="between"/>
        <c:majorUnit val="100"/>
      </c:valAx>
      <c:spPr>
        <a:solidFill>
          <a:schemeClr val="bg2"/>
        </a:solidFill>
        <a:ln w="12700">
          <a:solidFill>
            <a:srgbClr val="808080"/>
          </a:solidFill>
          <a:prstDash val="solid"/>
        </a:ln>
      </c:spPr>
    </c:plotArea>
    <c:legend>
      <c:legendPos val="r"/>
      <c:layout>
        <c:manualLayout>
          <c:xMode val="edge"/>
          <c:yMode val="edge"/>
          <c:x val="0.84821536907441597"/>
          <c:y val="0.42492917198910707"/>
          <c:w val="0.14042094015223081"/>
          <c:h val="0.206867361918743"/>
        </c:manualLayout>
      </c:layout>
      <c:overlay val="0"/>
      <c:spPr>
        <a:solidFill>
          <a:srgbClr val="FFFFFF"/>
        </a:solidFill>
        <a:ln w="3175">
          <a:solidFill>
            <a:srgbClr val="000000"/>
          </a:solidFill>
          <a:prstDash val="solid"/>
        </a:ln>
      </c:spPr>
      <c:txPr>
        <a:bodyPr/>
        <a:lstStyle/>
        <a:p>
          <a:pPr>
            <a:defRPr lang="es-ES" sz="1100" b="0" i="0" u="none" strike="noStrike" baseline="0">
              <a:solidFill>
                <a:srgbClr val="000000"/>
              </a:solidFill>
              <a:latin typeface="Arial" pitchFamily="34" charset="0"/>
              <a:ea typeface="Times New Roman"/>
              <a:cs typeface="Arial" pitchFamily="34" charset="0"/>
            </a:defRPr>
          </a:pPr>
          <a:endParaRPr lang="ca-ES"/>
        </a:p>
      </c:txPr>
    </c:legend>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77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b="1" i="0" u="none" strike="noStrike" baseline="0">
                <a:solidFill>
                  <a:srgbClr val="000000"/>
                </a:solidFill>
                <a:latin typeface="Arial"/>
                <a:ea typeface="Arial"/>
                <a:cs typeface="Arial"/>
              </a:defRPr>
            </a:pPr>
            <a:r>
              <a:rPr lang="es-ES" sz="1100" baseline="0"/>
              <a:t>AÑO 2011</a:t>
            </a:r>
          </a:p>
        </c:rich>
      </c:tx>
      <c:layout>
        <c:manualLayout>
          <c:xMode val="edge"/>
          <c:yMode val="edge"/>
          <c:x val="0.16213642439676454"/>
          <c:y val="1.8653138156388183E-2"/>
        </c:manualLayout>
      </c:layout>
      <c:overlay val="0"/>
      <c:spPr>
        <a:noFill/>
        <a:ln w="25400">
          <a:noFill/>
        </a:ln>
      </c:spPr>
    </c:title>
    <c:autoTitleDeleted val="0"/>
    <c:view3D>
      <c:rotX val="75"/>
      <c:rotY val="0"/>
      <c:rAngAx val="1"/>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0"/>
          <c:y val="0.15869013017668143"/>
          <c:w val="0.49948365190410787"/>
          <c:h val="0.72531804329827965"/>
        </c:manualLayout>
      </c:layout>
      <c:pie3DChart>
        <c:varyColors val="1"/>
        <c:ser>
          <c:idx val="0"/>
          <c:order val="0"/>
          <c:tx>
            <c:strRef>
              <c:f>'OBLIGACIONS CAPITOL 4 CAIB'!$N$7</c:f>
              <c:strCache>
                <c:ptCount val="1"/>
                <c:pt idx="0">
                  <c:v>2012</c:v>
                </c:pt>
              </c:strCache>
            </c:strRef>
          </c:tx>
          <c:spPr>
            <a:solidFill>
              <a:srgbClr val="9999FF"/>
            </a:solidFill>
            <a:ln w="12700">
              <a:noFill/>
              <a:prstDash val="solid"/>
            </a:ln>
            <a:scene3d>
              <a:camera prst="orthographicFront"/>
              <a:lightRig rig="flood" dir="t"/>
            </a:scene3d>
            <a:sp3d prstMaterial="dkEdge">
              <a:bevelT w="152400" prst="softRound"/>
              <a:contourClr>
                <a:srgbClr val="000000"/>
              </a:contourClr>
            </a:sp3d>
          </c:spPr>
          <c:dPt>
            <c:idx val="0"/>
            <c:bubble3D val="0"/>
            <c:spPr>
              <a:solidFill>
                <a:srgbClr val="00FFFF"/>
              </a:solidFill>
              <a:ln w="3175">
                <a:noFill/>
                <a:prstDash val="solid"/>
              </a:ln>
              <a:effectLst/>
              <a:scene3d>
                <a:camera prst="orthographicFront"/>
                <a:lightRig rig="flood" dir="t"/>
              </a:scene3d>
              <a:sp3d prstMaterial="dkEdge">
                <a:bevelT w="152400" prst="softRound"/>
                <a:contourClr>
                  <a:srgbClr val="000000"/>
                </a:contourClr>
              </a:sp3d>
            </c:spPr>
            <c:extLst>
              <c:ext xmlns:c16="http://schemas.microsoft.com/office/drawing/2014/chart" uri="{C3380CC4-5D6E-409C-BE32-E72D297353CC}">
                <c16:uniqueId val="{00000000-7FC8-4FF0-9784-FC8871918CC7}"/>
              </c:ext>
            </c:extLst>
          </c:dPt>
          <c:dPt>
            <c:idx val="1"/>
            <c:bubble3D val="0"/>
            <c:spPr>
              <a:solidFill>
                <a:srgbClr val="C00000"/>
              </a:solidFill>
              <a:ln w="12700">
                <a:noFill/>
                <a:prstDash val="solid"/>
              </a:ln>
              <a:scene3d>
                <a:camera prst="orthographicFront"/>
                <a:lightRig rig="flood" dir="t"/>
              </a:scene3d>
              <a:sp3d prstMaterial="dkEdge">
                <a:bevelT w="152400" prst="softRound"/>
                <a:contourClr>
                  <a:srgbClr val="000000"/>
                </a:contourClr>
              </a:sp3d>
            </c:spPr>
            <c:extLst>
              <c:ext xmlns:c16="http://schemas.microsoft.com/office/drawing/2014/chart" uri="{C3380CC4-5D6E-409C-BE32-E72D297353CC}">
                <c16:uniqueId val="{00000001-7FC8-4FF0-9784-FC8871918CC7}"/>
              </c:ext>
            </c:extLst>
          </c:dPt>
          <c:dPt>
            <c:idx val="2"/>
            <c:bubble3D val="0"/>
            <c:spPr>
              <a:solidFill>
                <a:srgbClr val="FFC000"/>
              </a:solidFill>
              <a:ln w="12700">
                <a:noFill/>
                <a:prstDash val="solid"/>
              </a:ln>
              <a:scene3d>
                <a:camera prst="orthographicFront"/>
                <a:lightRig rig="flood" dir="t"/>
              </a:scene3d>
              <a:sp3d prstMaterial="dkEdge">
                <a:bevelT w="152400" prst="softRound"/>
                <a:contourClr>
                  <a:srgbClr val="000000"/>
                </a:contourClr>
              </a:sp3d>
            </c:spPr>
            <c:extLst>
              <c:ext xmlns:c16="http://schemas.microsoft.com/office/drawing/2014/chart" uri="{C3380CC4-5D6E-409C-BE32-E72D297353CC}">
                <c16:uniqueId val="{00000002-7FC8-4FF0-9784-FC8871918CC7}"/>
              </c:ext>
            </c:extLst>
          </c:dPt>
          <c:dPt>
            <c:idx val="3"/>
            <c:bubble3D val="0"/>
            <c:spPr>
              <a:solidFill>
                <a:srgbClr val="CC99FF"/>
              </a:solidFill>
              <a:ln w="12700">
                <a:noFill/>
                <a:prstDash val="solid"/>
              </a:ln>
              <a:scene3d>
                <a:camera prst="orthographicFront"/>
                <a:lightRig rig="flood" dir="t"/>
              </a:scene3d>
              <a:sp3d prstMaterial="dkEdge">
                <a:bevelT w="152400" prst="softRound"/>
                <a:contourClr>
                  <a:srgbClr val="000000"/>
                </a:contourClr>
              </a:sp3d>
            </c:spPr>
            <c:extLst>
              <c:ext xmlns:c16="http://schemas.microsoft.com/office/drawing/2014/chart" uri="{C3380CC4-5D6E-409C-BE32-E72D297353CC}">
                <c16:uniqueId val="{00000003-7FC8-4FF0-9784-FC8871918CC7}"/>
              </c:ext>
            </c:extLst>
          </c:dPt>
          <c:dPt>
            <c:idx val="4"/>
            <c:bubble3D val="0"/>
            <c:spPr>
              <a:solidFill>
                <a:srgbClr val="3366FF"/>
              </a:solidFill>
              <a:ln w="12700">
                <a:noFill/>
                <a:prstDash val="solid"/>
              </a:ln>
              <a:scene3d>
                <a:camera prst="orthographicFront"/>
                <a:lightRig rig="flood" dir="t"/>
              </a:scene3d>
              <a:sp3d prstMaterial="dkEdge">
                <a:bevelT w="152400" prst="softRound"/>
                <a:contourClr>
                  <a:srgbClr val="000000"/>
                </a:contourClr>
              </a:sp3d>
            </c:spPr>
            <c:extLst>
              <c:ext xmlns:c16="http://schemas.microsoft.com/office/drawing/2014/chart" uri="{C3380CC4-5D6E-409C-BE32-E72D297353CC}">
                <c16:uniqueId val="{00000004-7FC8-4FF0-9784-FC8871918CC7}"/>
              </c:ext>
            </c:extLst>
          </c:dPt>
          <c:dLbls>
            <c:dLbl>
              <c:idx val="0"/>
              <c:layout>
                <c:manualLayout>
                  <c:x val="-2.4066958662300551E-2"/>
                  <c:y val="1.794293816910226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7FC8-4FF0-9784-FC8871918CC7}"/>
                </c:ext>
              </c:extLst>
            </c:dLbl>
            <c:dLbl>
              <c:idx val="1"/>
              <c:layout>
                <c:manualLayout>
                  <c:x val="-2.2017165337533482E-2"/>
                  <c:y val="-2.3233249977398377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C8-4FF0-9784-FC8871918CC7}"/>
                </c:ext>
              </c:extLst>
            </c:dLbl>
            <c:dLbl>
              <c:idx val="2"/>
              <c:layout>
                <c:manualLayout>
                  <c:x val="-7.0590812774884906E-3"/>
                  <c:y val="2.173569809838598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FC8-4FF0-9784-FC8871918CC7}"/>
                </c:ext>
              </c:extLst>
            </c:dLbl>
            <c:dLbl>
              <c:idx val="3"/>
              <c:layout>
                <c:manualLayout>
                  <c:x val="-9.838381585377419E-2"/>
                  <c:y val="-0.1665946440243052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C8-4FF0-9784-FC8871918CC7}"/>
                </c:ext>
              </c:extLst>
            </c:dLbl>
            <c:dLbl>
              <c:idx val="4"/>
              <c:layout>
                <c:manualLayout>
                  <c:x val="0.11909713645265947"/>
                  <c:y val="8.008658289546594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7FC8-4FF0-9784-FC8871918CC7}"/>
                </c:ext>
              </c:extLst>
            </c:dLbl>
            <c:numFmt formatCode="0%" sourceLinked="0"/>
            <c:spPr>
              <a:noFill/>
              <a:ln w="25400">
                <a:noFill/>
              </a:ln>
            </c:spPr>
            <c:txPr>
              <a:bodyPr/>
              <a:lstStyle/>
              <a:p>
                <a:pPr algn="ctr" rtl="1">
                  <a:defRPr sz="1100" b="0" i="0" u="none" strike="noStrike" baseline="0">
                    <a:solidFill>
                      <a:srgbClr val="000000"/>
                    </a:solidFill>
                    <a:latin typeface="Arial"/>
                    <a:ea typeface="Arial"/>
                    <a:cs typeface="Arial"/>
                  </a:defRPr>
                </a:pPr>
                <a:endParaRPr lang="ca-ES"/>
              </a:p>
            </c:txPr>
            <c:showLegendKey val="0"/>
            <c:showVal val="0"/>
            <c:showCatName val="0"/>
            <c:showSerName val="0"/>
            <c:showPercent val="1"/>
            <c:showBubbleSize val="0"/>
            <c:showLeaderLines val="0"/>
            <c:extLst>
              <c:ext xmlns:c15="http://schemas.microsoft.com/office/drawing/2012/chart" uri="{CE6537A1-D6FC-4f65-9D91-7224C49458BB}"/>
            </c:extLst>
          </c:dLbls>
          <c:cat>
            <c:strRef>
              <c:f>'OBLIGACIONS CAPITOL 4 CAIB'!$A$11:$A$15</c:f>
              <c:strCache>
                <c:ptCount val="5"/>
                <c:pt idx="0">
                  <c:v>A EMPRESES I ALTRES ENS CAIB (art. 44)</c:v>
                </c:pt>
                <c:pt idx="1">
                  <c:v>A CONSELLS INSULARS (concepte 461)</c:v>
                </c:pt>
                <c:pt idx="2">
                  <c:v>A AJUNTAMENTS (concepte 460, 464 y 469)</c:v>
                </c:pt>
                <c:pt idx="3">
                  <c:v>AL SISTEMA SANITARI (art. 42)</c:v>
                </c:pt>
                <c:pt idx="4">
                  <c:v>ALTRES OBLIGACIONS</c:v>
                </c:pt>
              </c:strCache>
            </c:strRef>
          </c:cat>
          <c:val>
            <c:numRef>
              <c:f>'OBLIGACIONS CAPITOL 4 CAIB'!$N$11:$N$15</c:f>
              <c:numCache>
                <c:formatCode>#,##0.00</c:formatCode>
                <c:ptCount val="5"/>
                <c:pt idx="0">
                  <c:v>259.29000000000002</c:v>
                </c:pt>
                <c:pt idx="1">
                  <c:v>137.44</c:v>
                </c:pt>
                <c:pt idx="2">
                  <c:v>26.009999999999998</c:v>
                </c:pt>
                <c:pt idx="3">
                  <c:v>1724.05</c:v>
                </c:pt>
                <c:pt idx="4">
                  <c:v>1554.7099999999998</c:v>
                </c:pt>
              </c:numCache>
            </c:numRef>
          </c:val>
          <c:extLst>
            <c:ext xmlns:c16="http://schemas.microsoft.com/office/drawing/2014/chart" uri="{C3380CC4-5D6E-409C-BE32-E72D297353CC}">
              <c16:uniqueId val="{00000005-7FC8-4FF0-9784-FC8871918CC7}"/>
            </c:ext>
          </c:extLst>
        </c:ser>
        <c:dLbls>
          <c:showLegendKey val="0"/>
          <c:showVal val="0"/>
          <c:showCatName val="0"/>
          <c:showSerName val="0"/>
          <c:showPercent val="1"/>
          <c:showBubbleSize val="0"/>
          <c:showLeaderLines val="0"/>
        </c:dLbls>
      </c:pie3DChart>
    </c:plotArea>
    <c:legend>
      <c:legendPos val="r"/>
      <c:layout>
        <c:manualLayout>
          <c:xMode val="edge"/>
          <c:yMode val="edge"/>
          <c:x val="0.5030627677116537"/>
          <c:y val="6.3637548662121915E-2"/>
          <c:w val="0.4470472679118378"/>
          <c:h val="0.86256724620831793"/>
        </c:manualLayout>
      </c:layout>
      <c:overlay val="0"/>
      <c:spPr>
        <a:solidFill>
          <a:schemeClr val="bg1"/>
        </a:solidFill>
        <a:ln w="6350" cmpd="dbl">
          <a:solidFill>
            <a:srgbClr val="000000"/>
          </a:solidFill>
          <a:prstDash val="solid"/>
        </a:ln>
      </c:spPr>
      <c:txPr>
        <a:bodyPr/>
        <a:lstStyle/>
        <a:p>
          <a:pPr>
            <a:defRPr lang="es-ES" sz="800" b="0" i="0" u="none" strike="noStrike" baseline="0">
              <a:solidFill>
                <a:srgbClr val="000000"/>
              </a:solidFill>
              <a:latin typeface="Arial" pitchFamily="34" charset="0"/>
              <a:ea typeface="Arial"/>
              <a:cs typeface="Arial"/>
            </a:defRPr>
          </a:pPr>
          <a:endParaRPr lang="ca-ES"/>
        </a:p>
      </c:txPr>
    </c:legend>
    <c:plotVisOnly val="1"/>
    <c:dispBlanksAs val="zero"/>
    <c:showDLblsOverMax val="0"/>
  </c:chart>
  <c:spPr>
    <a:gradFill>
      <a:gsLst>
        <a:gs pos="0">
          <a:srgbClr val="CCFFFF"/>
        </a:gs>
        <a:gs pos="50000">
          <a:srgbClr val="4F81BD">
            <a:tint val="44500"/>
            <a:satMod val="160000"/>
          </a:srgbClr>
        </a:gs>
        <a:gs pos="100000">
          <a:srgbClr val="4F81BD">
            <a:tint val="23500"/>
            <a:satMod val="160000"/>
          </a:srgbClr>
        </a:gs>
      </a:gsLst>
      <a:lin ang="5400000" scaled="0"/>
    </a:gradFill>
    <a:ln>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b="1" i="0" u="none" strike="noStrike" baseline="0">
                <a:solidFill>
                  <a:srgbClr val="000000"/>
                </a:solidFill>
                <a:latin typeface="Arial"/>
                <a:ea typeface="Arial"/>
                <a:cs typeface="Arial"/>
              </a:defRPr>
            </a:pPr>
            <a:r>
              <a:rPr lang="es-ES" sz="1100" baseline="0"/>
              <a:t>AÑO 2020</a:t>
            </a:r>
          </a:p>
        </c:rich>
      </c:tx>
      <c:layout>
        <c:manualLayout>
          <c:xMode val="edge"/>
          <c:yMode val="edge"/>
          <c:x val="0.19347629663669341"/>
          <c:y val="2.6245319335083207E-2"/>
        </c:manualLayout>
      </c:layout>
      <c:overlay val="0"/>
      <c:spPr>
        <a:noFill/>
        <a:ln w="25400">
          <a:noFill/>
        </a:ln>
      </c:spPr>
    </c:title>
    <c:autoTitleDeleted val="0"/>
    <c:view3D>
      <c:rotX val="75"/>
      <c:rotY val="0"/>
      <c:rAngAx val="1"/>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5.0459760672748304E-3"/>
          <c:y val="0.17464897307416991"/>
          <c:w val="0.49856141425725586"/>
          <c:h val="0.7145799607216925"/>
        </c:manualLayout>
      </c:layout>
      <c:pie3DChart>
        <c:varyColors val="1"/>
        <c:ser>
          <c:idx val="0"/>
          <c:order val="0"/>
          <c:tx>
            <c:strRef>
              <c:f>'OBLIGACIONS CAPITOL 4 CAIB'!$W$7</c:f>
              <c:strCache>
                <c:ptCount val="1"/>
                <c:pt idx="0">
                  <c:v>2021</c:v>
                </c:pt>
              </c:strCache>
            </c:strRef>
          </c:tx>
          <c:spPr>
            <a:solidFill>
              <a:srgbClr val="9999FF"/>
            </a:solidFill>
            <a:ln w="12700">
              <a:solidFill>
                <a:srgbClr val="000000"/>
              </a:solidFill>
              <a:prstDash val="solid"/>
            </a:ln>
            <a:scene3d>
              <a:camera prst="orthographicFront"/>
              <a:lightRig rig="threePt" dir="t"/>
            </a:scene3d>
            <a:sp3d prstMaterial="dkEdge">
              <a:bevelT w="152400" prst="angle"/>
              <a:contourClr>
                <a:srgbClr val="000000"/>
              </a:contourClr>
            </a:sp3d>
          </c:spPr>
          <c:dPt>
            <c:idx val="0"/>
            <c:bubble3D val="0"/>
            <c:spPr>
              <a:solidFill>
                <a:srgbClr val="00FFFF"/>
              </a:solidFill>
              <a:ln w="12700">
                <a:noFill/>
                <a:prstDash val="solid"/>
              </a:ln>
              <a:scene3d>
                <a:camera prst="orthographicFront"/>
                <a:lightRig rig="threePt" dir="t"/>
              </a:scene3d>
              <a:sp3d prstMaterial="dkEdge">
                <a:bevelT w="152400" prst="angle"/>
                <a:contourClr>
                  <a:srgbClr val="000000"/>
                </a:contourClr>
              </a:sp3d>
            </c:spPr>
            <c:extLst>
              <c:ext xmlns:c16="http://schemas.microsoft.com/office/drawing/2014/chart" uri="{C3380CC4-5D6E-409C-BE32-E72D297353CC}">
                <c16:uniqueId val="{00000000-8F8D-44FE-9CD5-52A32863BF63}"/>
              </c:ext>
            </c:extLst>
          </c:dPt>
          <c:dPt>
            <c:idx val="1"/>
            <c:bubble3D val="0"/>
            <c:spPr>
              <a:solidFill>
                <a:srgbClr val="C00000"/>
              </a:solidFill>
              <a:ln w="12700">
                <a:noFill/>
                <a:prstDash val="solid"/>
              </a:ln>
              <a:scene3d>
                <a:camera prst="orthographicFront"/>
                <a:lightRig rig="threePt" dir="t"/>
              </a:scene3d>
              <a:sp3d prstMaterial="dkEdge">
                <a:bevelT w="152400" prst="angle"/>
                <a:contourClr>
                  <a:srgbClr val="000000"/>
                </a:contourClr>
              </a:sp3d>
            </c:spPr>
            <c:extLst>
              <c:ext xmlns:c16="http://schemas.microsoft.com/office/drawing/2014/chart" uri="{C3380CC4-5D6E-409C-BE32-E72D297353CC}">
                <c16:uniqueId val="{00000001-8F8D-44FE-9CD5-52A32863BF63}"/>
              </c:ext>
            </c:extLst>
          </c:dPt>
          <c:dPt>
            <c:idx val="2"/>
            <c:bubble3D val="0"/>
            <c:spPr>
              <a:solidFill>
                <a:srgbClr val="FFC000"/>
              </a:solidFill>
              <a:ln w="12700">
                <a:noFill/>
                <a:prstDash val="solid"/>
              </a:ln>
              <a:scene3d>
                <a:camera prst="orthographicFront"/>
                <a:lightRig rig="threePt" dir="t"/>
              </a:scene3d>
              <a:sp3d prstMaterial="dkEdge">
                <a:bevelT w="152400" prst="angle"/>
                <a:contourClr>
                  <a:srgbClr val="000000"/>
                </a:contourClr>
              </a:sp3d>
            </c:spPr>
            <c:extLst>
              <c:ext xmlns:c16="http://schemas.microsoft.com/office/drawing/2014/chart" uri="{C3380CC4-5D6E-409C-BE32-E72D297353CC}">
                <c16:uniqueId val="{00000002-8F8D-44FE-9CD5-52A32863BF63}"/>
              </c:ext>
            </c:extLst>
          </c:dPt>
          <c:dPt>
            <c:idx val="3"/>
            <c:bubble3D val="0"/>
            <c:spPr>
              <a:solidFill>
                <a:srgbClr val="CC99FF"/>
              </a:solidFill>
              <a:ln w="12700">
                <a:noFill/>
                <a:prstDash val="solid"/>
              </a:ln>
              <a:scene3d>
                <a:camera prst="orthographicFront"/>
                <a:lightRig rig="threePt" dir="t"/>
              </a:scene3d>
              <a:sp3d prstMaterial="dkEdge">
                <a:bevelT w="152400" prst="angle"/>
                <a:contourClr>
                  <a:srgbClr val="000000"/>
                </a:contourClr>
              </a:sp3d>
            </c:spPr>
            <c:extLst>
              <c:ext xmlns:c16="http://schemas.microsoft.com/office/drawing/2014/chart" uri="{C3380CC4-5D6E-409C-BE32-E72D297353CC}">
                <c16:uniqueId val="{00000003-8F8D-44FE-9CD5-52A32863BF63}"/>
              </c:ext>
            </c:extLst>
          </c:dPt>
          <c:dPt>
            <c:idx val="4"/>
            <c:bubble3D val="0"/>
            <c:spPr>
              <a:solidFill>
                <a:srgbClr val="3366FF"/>
              </a:solidFill>
              <a:ln w="12700">
                <a:noFill/>
                <a:prstDash val="solid"/>
              </a:ln>
              <a:scene3d>
                <a:camera prst="orthographicFront"/>
                <a:lightRig rig="threePt" dir="t"/>
              </a:scene3d>
              <a:sp3d prstMaterial="dkEdge">
                <a:bevelT w="152400" prst="angle"/>
                <a:contourClr>
                  <a:srgbClr val="000000"/>
                </a:contourClr>
              </a:sp3d>
            </c:spPr>
            <c:extLst>
              <c:ext xmlns:c16="http://schemas.microsoft.com/office/drawing/2014/chart" uri="{C3380CC4-5D6E-409C-BE32-E72D297353CC}">
                <c16:uniqueId val="{00000004-8F8D-44FE-9CD5-52A32863BF63}"/>
              </c:ext>
            </c:extLst>
          </c:dPt>
          <c:dLbls>
            <c:dLbl>
              <c:idx val="0"/>
              <c:layout>
                <c:manualLayout>
                  <c:x val="-1.8846460348445625E-2"/>
                  <c:y val="2.236432996482731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8F8D-44FE-9CD5-52A32863BF63}"/>
                </c:ext>
              </c:extLst>
            </c:dLbl>
            <c:dLbl>
              <c:idx val="1"/>
              <c:layout>
                <c:manualLayout>
                  <c:x val="-1.1898025281659003E-2"/>
                  <c:y val="3.2133635117473889E-4"/>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F8D-44FE-9CD5-52A32863BF63}"/>
                </c:ext>
              </c:extLst>
            </c:dLbl>
            <c:dLbl>
              <c:idx val="2"/>
              <c:layout>
                <c:manualLayout>
                  <c:x val="-2.1253539669134091E-3"/>
                  <c:y val="-1.756115485564304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8F8D-44FE-9CD5-52A32863BF63}"/>
                </c:ext>
              </c:extLst>
            </c:dLbl>
            <c:dLbl>
              <c:idx val="3"/>
              <c:layout>
                <c:manualLayout>
                  <c:x val="8.6148075481127143E-2"/>
                  <c:y val="-0.21708151722695138"/>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F8D-44FE-9CD5-52A32863BF63}"/>
                </c:ext>
              </c:extLst>
            </c:dLbl>
            <c:dLbl>
              <c:idx val="4"/>
              <c:layout>
                <c:manualLayout>
                  <c:x val="2.762880266707686E-2"/>
                  <c:y val="7.8918677675412132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8F8D-44FE-9CD5-52A32863BF63}"/>
                </c:ext>
              </c:extLst>
            </c:dLbl>
            <c:numFmt formatCode="0%" sourceLinked="0"/>
            <c:spPr>
              <a:noFill/>
              <a:ln w="25400">
                <a:noFill/>
              </a:ln>
            </c:spPr>
            <c:txPr>
              <a:bodyPr/>
              <a:lstStyle/>
              <a:p>
                <a:pPr algn="ctr" rtl="1">
                  <a:defRPr sz="1100" b="0" i="0" u="none" strike="noStrike" baseline="0">
                    <a:solidFill>
                      <a:srgbClr val="000000"/>
                    </a:solidFill>
                    <a:latin typeface="Arial"/>
                    <a:ea typeface="Arial"/>
                    <a:cs typeface="Arial"/>
                  </a:defRPr>
                </a:pPr>
                <a:endParaRPr lang="ca-ES"/>
              </a:p>
            </c:txPr>
            <c:showLegendKey val="0"/>
            <c:showVal val="0"/>
            <c:showCatName val="0"/>
            <c:showSerName val="0"/>
            <c:showPercent val="1"/>
            <c:showBubbleSize val="0"/>
            <c:showLeaderLines val="0"/>
            <c:extLst>
              <c:ext xmlns:c15="http://schemas.microsoft.com/office/drawing/2012/chart" uri="{CE6537A1-D6FC-4f65-9D91-7224C49458BB}"/>
            </c:extLst>
          </c:dLbls>
          <c:cat>
            <c:strRef>
              <c:f>'OBLIGACIONS CAPITOL 4 CAIB'!$A$11:$A$15</c:f>
              <c:strCache>
                <c:ptCount val="5"/>
                <c:pt idx="0">
                  <c:v>A EMPRESES I ALTRES ENS CAIB (art. 44)</c:v>
                </c:pt>
                <c:pt idx="1">
                  <c:v>A CONSELLS INSULARS (concepte 461)</c:v>
                </c:pt>
                <c:pt idx="2">
                  <c:v>A AJUNTAMENTS (concepte 460, 464 y 469)</c:v>
                </c:pt>
                <c:pt idx="3">
                  <c:v>AL SISTEMA SANITARI (art. 42)</c:v>
                </c:pt>
                <c:pt idx="4">
                  <c:v>ALTRES OBLIGACIONS</c:v>
                </c:pt>
              </c:strCache>
            </c:strRef>
          </c:cat>
          <c:val>
            <c:numRef>
              <c:f>'OBLIGACIONS CAPITOL 4 CAIB'!$W$11:$W$15</c:f>
              <c:numCache>
                <c:formatCode>#,##0.00</c:formatCode>
                <c:ptCount val="5"/>
                <c:pt idx="0">
                  <c:v>306.51</c:v>
                </c:pt>
                <c:pt idx="1">
                  <c:v>387.76</c:v>
                </c:pt>
                <c:pt idx="2">
                  <c:v>46.280000000000008</c:v>
                </c:pt>
                <c:pt idx="3">
                  <c:v>1909.68</c:v>
                </c:pt>
                <c:pt idx="4">
                  <c:v>1231.1400000000001</c:v>
                </c:pt>
              </c:numCache>
            </c:numRef>
          </c:val>
          <c:extLst>
            <c:ext xmlns:c16="http://schemas.microsoft.com/office/drawing/2014/chart" uri="{C3380CC4-5D6E-409C-BE32-E72D297353CC}">
              <c16:uniqueId val="{00000005-8F8D-44FE-9CD5-52A32863BF63}"/>
            </c:ext>
          </c:extLst>
        </c:ser>
        <c:dLbls>
          <c:showLegendKey val="0"/>
          <c:showVal val="0"/>
          <c:showCatName val="0"/>
          <c:showSerName val="0"/>
          <c:showPercent val="1"/>
          <c:showBubbleSize val="0"/>
          <c:showLeaderLines val="0"/>
        </c:dLbls>
      </c:pie3DChart>
    </c:plotArea>
    <c:legend>
      <c:legendPos val="r"/>
      <c:layout>
        <c:manualLayout>
          <c:xMode val="edge"/>
          <c:yMode val="edge"/>
          <c:x val="0.51995020996067853"/>
          <c:y val="6.0051320004254047E-2"/>
          <c:w val="0.40689249705788777"/>
          <c:h val="0.85957374548061349"/>
        </c:manualLayout>
      </c:layout>
      <c:overlay val="0"/>
      <c:spPr>
        <a:solidFill>
          <a:srgbClr val="FFFFFF"/>
        </a:solidFill>
        <a:ln w="3175">
          <a:solidFill>
            <a:srgbClr val="000000"/>
          </a:solidFill>
          <a:prstDash val="solid"/>
        </a:ln>
        <a:effectLst/>
      </c:spPr>
      <c:txPr>
        <a:bodyPr/>
        <a:lstStyle/>
        <a:p>
          <a:pPr>
            <a:defRPr lang="es-ES" sz="800" b="0" i="0" u="none" strike="noStrike" baseline="0">
              <a:solidFill>
                <a:srgbClr val="000000"/>
              </a:solidFill>
              <a:latin typeface="Arial"/>
              <a:ea typeface="Arial"/>
              <a:cs typeface="Arial"/>
            </a:defRPr>
          </a:pPr>
          <a:endParaRPr lang="ca-ES"/>
        </a:p>
      </c:txPr>
    </c:legend>
    <c:plotVisOnly val="1"/>
    <c:dispBlanksAs val="zero"/>
    <c:showDLblsOverMax val="0"/>
  </c:chart>
  <c:spPr>
    <a:gradFill>
      <a:gsLst>
        <a:gs pos="0">
          <a:srgbClr val="CCFFFF"/>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b="1" i="0" u="none" strike="noStrike" baseline="0">
                <a:solidFill>
                  <a:srgbClr val="000000"/>
                </a:solidFill>
                <a:latin typeface="Arial"/>
                <a:ea typeface="Arial"/>
                <a:cs typeface="Arial"/>
              </a:defRPr>
            </a:pPr>
            <a:r>
              <a:rPr lang="es-ES" sz="1100" baseline="0"/>
              <a:t>AÑO 2011</a:t>
            </a:r>
          </a:p>
        </c:rich>
      </c:tx>
      <c:layout>
        <c:manualLayout>
          <c:xMode val="edge"/>
          <c:yMode val="edge"/>
          <c:x val="0.28386118401866978"/>
          <c:y val="3.921568627450981E-2"/>
        </c:manualLayout>
      </c:layout>
      <c:overlay val="0"/>
      <c:spPr>
        <a:noFill/>
        <a:ln w="25400">
          <a:noFill/>
        </a:ln>
      </c:spPr>
    </c:title>
    <c:autoTitleDeleted val="0"/>
    <c:view3D>
      <c:rotX val="75"/>
      <c:rotY val="0"/>
      <c:rAngAx val="0"/>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0"/>
          <c:y val="0.14116209611729624"/>
          <c:w val="0.56028122766462063"/>
          <c:h val="0.75849760159290469"/>
        </c:manualLayout>
      </c:layout>
      <c:pie3DChart>
        <c:varyColors val="1"/>
        <c:ser>
          <c:idx val="0"/>
          <c:order val="0"/>
          <c:tx>
            <c:strRef>
              <c:f>'OBLIGACIONS CAPITOL 7 CAIB'!$N$7</c:f>
              <c:strCache>
                <c:ptCount val="1"/>
                <c:pt idx="0">
                  <c:v>2012</c:v>
                </c:pt>
              </c:strCache>
            </c:strRef>
          </c:tx>
          <c:spPr>
            <a:solidFill>
              <a:srgbClr val="9999FF"/>
            </a:solidFill>
            <a:ln w="12700">
              <a:noFill/>
              <a:prstDash val="solid"/>
            </a:ln>
            <a:scene3d>
              <a:camera prst="orthographicFront"/>
              <a:lightRig rig="threePt" dir="t"/>
            </a:scene3d>
            <a:sp3d prstMaterial="dkEdge">
              <a:bevelT w="152400"/>
              <a:contourClr>
                <a:srgbClr val="000000"/>
              </a:contourClr>
            </a:sp3d>
          </c:spPr>
          <c:dPt>
            <c:idx val="0"/>
            <c:bubble3D val="0"/>
            <c:spPr>
              <a:solidFill>
                <a:srgbClr val="00FF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0-E497-4F27-856D-C345995A06C3}"/>
              </c:ext>
            </c:extLst>
          </c:dPt>
          <c:dPt>
            <c:idx val="1"/>
            <c:bubble3D val="0"/>
            <c:spPr>
              <a:solidFill>
                <a:srgbClr val="C00000"/>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1-E497-4F27-856D-C345995A06C3}"/>
              </c:ext>
            </c:extLst>
          </c:dPt>
          <c:dPt>
            <c:idx val="2"/>
            <c:bubble3D val="0"/>
            <c:spPr>
              <a:solidFill>
                <a:srgbClr val="FFC000"/>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2-E497-4F27-856D-C345995A06C3}"/>
              </c:ext>
            </c:extLst>
          </c:dPt>
          <c:dPt>
            <c:idx val="3"/>
            <c:bubble3D val="0"/>
            <c:spPr>
              <a:solidFill>
                <a:srgbClr val="CC99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3-E497-4F27-856D-C345995A06C3}"/>
              </c:ext>
            </c:extLst>
          </c:dPt>
          <c:dPt>
            <c:idx val="4"/>
            <c:bubble3D val="0"/>
            <c:spPr>
              <a:solidFill>
                <a:srgbClr val="3366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4-E497-4F27-856D-C345995A06C3}"/>
              </c:ext>
            </c:extLst>
          </c:dPt>
          <c:dLbls>
            <c:dLbl>
              <c:idx val="0"/>
              <c:layout>
                <c:manualLayout>
                  <c:x val="-0.12207445774557329"/>
                  <c:y val="7.222807493890852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E497-4F27-856D-C345995A06C3}"/>
                </c:ext>
              </c:extLst>
            </c:dLbl>
            <c:dLbl>
              <c:idx val="1"/>
              <c:layout>
                <c:manualLayout>
                  <c:x val="3.9464977625992811E-2"/>
                  <c:y val="-0.1803985881075215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497-4F27-856D-C345995A06C3}"/>
                </c:ext>
              </c:extLst>
            </c:dLbl>
            <c:dLbl>
              <c:idx val="2"/>
              <c:layout>
                <c:manualLayout>
                  <c:x val="0.1163215118429224"/>
                  <c:y val="2.860276948140105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E497-4F27-856D-C345995A06C3}"/>
                </c:ext>
              </c:extLst>
            </c:dLbl>
            <c:dLbl>
              <c:idx val="3"/>
              <c:layout>
                <c:manualLayout>
                  <c:x val="5.8040836426020224E-2"/>
                  <c:y val="0.103207530093221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497-4F27-856D-C345995A06C3}"/>
                </c:ext>
              </c:extLst>
            </c:dLbl>
            <c:dLbl>
              <c:idx val="4"/>
              <c:layout>
                <c:manualLayout>
                  <c:x val="2.8177492457794242E-2"/>
                  <c:y val="0.10705779424630747"/>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E497-4F27-856D-C345995A06C3}"/>
                </c:ext>
              </c:extLst>
            </c:dLbl>
            <c:numFmt formatCode="0%" sourceLinked="0"/>
            <c:spPr>
              <a:noFill/>
              <a:ln w="25400">
                <a:noFill/>
              </a:ln>
            </c:spPr>
            <c:txPr>
              <a:bodyPr/>
              <a:lstStyle/>
              <a:p>
                <a:pPr algn="ctr" rtl="1">
                  <a:defRPr sz="1100" b="0" i="0" u="none" strike="noStrike" baseline="0">
                    <a:solidFill>
                      <a:srgbClr val="000000"/>
                    </a:solidFill>
                    <a:latin typeface="Arial"/>
                    <a:ea typeface="Arial"/>
                    <a:cs typeface="Arial"/>
                  </a:defRPr>
                </a:pPr>
                <a:endParaRPr lang="ca-ES"/>
              </a:p>
            </c:txPr>
            <c:showLegendKey val="0"/>
            <c:showVal val="0"/>
            <c:showCatName val="0"/>
            <c:showSerName val="0"/>
            <c:showPercent val="1"/>
            <c:showBubbleSize val="0"/>
            <c:showLeaderLines val="1"/>
            <c:extLst>
              <c:ext xmlns:c15="http://schemas.microsoft.com/office/drawing/2012/chart" uri="{CE6537A1-D6FC-4f65-9D91-7224C49458BB}"/>
            </c:extLst>
          </c:dLbls>
          <c:cat>
            <c:strRef>
              <c:f>'OBLIGACIONS CAPITOL 7 CAIB'!$A$11:$A$15</c:f>
              <c:strCache>
                <c:ptCount val="5"/>
                <c:pt idx="0">
                  <c:v>A EMPRESES I ALTRES ENS CAIB (art. 74)</c:v>
                </c:pt>
                <c:pt idx="1">
                  <c:v>A CONSELLS INSULARS (concepte 761)</c:v>
                </c:pt>
                <c:pt idx="2">
                  <c:v>A AJUNTAMENTS (concepte 760, 764 y 769)</c:v>
                </c:pt>
                <c:pt idx="3">
                  <c:v>AL SISTEMA SANITARI (art. 72)</c:v>
                </c:pt>
                <c:pt idx="4">
                  <c:v>ALTRES OBLIGACIONS</c:v>
                </c:pt>
              </c:strCache>
            </c:strRef>
          </c:cat>
          <c:val>
            <c:numRef>
              <c:f>'OBLIGACIONS CAPITOL 7 CAIB'!$N$11:$N$15</c:f>
              <c:numCache>
                <c:formatCode>#,##0.00</c:formatCode>
                <c:ptCount val="5"/>
                <c:pt idx="0">
                  <c:v>100.48</c:v>
                </c:pt>
                <c:pt idx="1">
                  <c:v>100.11</c:v>
                </c:pt>
                <c:pt idx="2">
                  <c:v>45.41</c:v>
                </c:pt>
                <c:pt idx="3">
                  <c:v>26.11</c:v>
                </c:pt>
                <c:pt idx="4">
                  <c:v>15.72398783999995</c:v>
                </c:pt>
              </c:numCache>
            </c:numRef>
          </c:val>
          <c:extLst>
            <c:ext xmlns:c16="http://schemas.microsoft.com/office/drawing/2014/chart" uri="{C3380CC4-5D6E-409C-BE32-E72D297353CC}">
              <c16:uniqueId val="{00000005-E497-4F27-856D-C345995A06C3}"/>
            </c:ext>
          </c:extLst>
        </c:ser>
        <c:dLbls>
          <c:showLegendKey val="0"/>
          <c:showVal val="0"/>
          <c:showCatName val="0"/>
          <c:showSerName val="0"/>
          <c:showPercent val="1"/>
          <c:showBubbleSize val="0"/>
          <c:showLeaderLines val="1"/>
        </c:dLbls>
      </c:pie3DChart>
    </c:plotArea>
    <c:legend>
      <c:legendPos val="r"/>
      <c:layout>
        <c:manualLayout>
          <c:xMode val="edge"/>
          <c:yMode val="edge"/>
          <c:x val="0.54423314822069557"/>
          <c:y val="9.8341569372794174E-2"/>
          <c:w val="0.41942017976959239"/>
          <c:h val="0.8066938184451109"/>
        </c:manualLayout>
      </c:layout>
      <c:overlay val="0"/>
      <c:spPr>
        <a:solidFill>
          <a:srgbClr val="FFFFFF"/>
        </a:solidFill>
        <a:ln w="3175">
          <a:solidFill>
            <a:srgbClr val="000000"/>
          </a:solidFill>
          <a:prstDash val="solid"/>
        </a:ln>
      </c:spPr>
      <c:txPr>
        <a:bodyPr/>
        <a:lstStyle/>
        <a:p>
          <a:pPr>
            <a:defRPr lang="es-ES" sz="800" b="0" i="0" u="none" strike="noStrike" baseline="0">
              <a:solidFill>
                <a:srgbClr val="000000"/>
              </a:solidFill>
              <a:latin typeface="Arial"/>
              <a:ea typeface="Arial"/>
              <a:cs typeface="Arial"/>
            </a:defRPr>
          </a:pPr>
          <a:endParaRPr lang="ca-ES"/>
        </a:p>
      </c:txPr>
    </c:legend>
    <c:plotVisOnly val="1"/>
    <c:dispBlanksAs val="zero"/>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b="1" i="0" u="none" strike="noStrike" baseline="0">
                <a:solidFill>
                  <a:srgbClr val="000000"/>
                </a:solidFill>
                <a:latin typeface="Arial"/>
                <a:ea typeface="Arial"/>
                <a:cs typeface="Arial"/>
              </a:defRPr>
            </a:pPr>
            <a:r>
              <a:rPr lang="es-ES" sz="1100" baseline="0"/>
              <a:t>AÑO 2020</a:t>
            </a:r>
          </a:p>
        </c:rich>
      </c:tx>
      <c:layout>
        <c:manualLayout>
          <c:xMode val="edge"/>
          <c:yMode val="edge"/>
          <c:x val="0.31087594819878878"/>
          <c:y val="3.8759584185835007E-2"/>
        </c:manualLayout>
      </c:layout>
      <c:overlay val="0"/>
      <c:spPr>
        <a:noFill/>
        <a:ln w="25400">
          <a:noFill/>
        </a:ln>
      </c:spPr>
    </c:title>
    <c:autoTitleDeleted val="0"/>
    <c:view3D>
      <c:rotX val="75"/>
      <c:rotY val="0"/>
      <c:rAngAx val="0"/>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1.3330095482408887E-2"/>
          <c:y val="0.1351238118608227"/>
          <c:w val="0.54891469816272953"/>
          <c:h val="0.77324350267399233"/>
        </c:manualLayout>
      </c:layout>
      <c:pie3DChart>
        <c:varyColors val="1"/>
        <c:ser>
          <c:idx val="0"/>
          <c:order val="0"/>
          <c:tx>
            <c:strRef>
              <c:f>'OBLIGACIONS CAPITOL 7 CAIB'!$W$7</c:f>
              <c:strCache>
                <c:ptCount val="1"/>
                <c:pt idx="0">
                  <c:v>2021</c:v>
                </c:pt>
              </c:strCache>
            </c:strRef>
          </c:tx>
          <c:spPr>
            <a:solidFill>
              <a:srgbClr val="9999FF"/>
            </a:solidFill>
            <a:ln w="12700">
              <a:noFill/>
              <a:prstDash val="solid"/>
            </a:ln>
            <a:scene3d>
              <a:camera prst="orthographicFront"/>
              <a:lightRig rig="threePt" dir="t"/>
            </a:scene3d>
            <a:sp3d prstMaterial="dkEdge">
              <a:bevelT w="152400"/>
              <a:contourClr>
                <a:srgbClr val="000000"/>
              </a:contourClr>
            </a:sp3d>
          </c:spPr>
          <c:dPt>
            <c:idx val="0"/>
            <c:bubble3D val="0"/>
            <c:spPr>
              <a:solidFill>
                <a:srgbClr val="00FF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0-8F38-4881-9519-50F630DFF511}"/>
              </c:ext>
            </c:extLst>
          </c:dPt>
          <c:dPt>
            <c:idx val="1"/>
            <c:bubble3D val="0"/>
            <c:spPr>
              <a:solidFill>
                <a:srgbClr val="C00000"/>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1-8F38-4881-9519-50F630DFF511}"/>
              </c:ext>
            </c:extLst>
          </c:dPt>
          <c:dPt>
            <c:idx val="2"/>
            <c:bubble3D val="0"/>
            <c:spPr>
              <a:solidFill>
                <a:srgbClr val="FFC000"/>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2-8F38-4881-9519-50F630DFF511}"/>
              </c:ext>
            </c:extLst>
          </c:dPt>
          <c:dPt>
            <c:idx val="3"/>
            <c:bubble3D val="0"/>
            <c:spPr>
              <a:solidFill>
                <a:srgbClr val="CC99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3-8F38-4881-9519-50F630DFF511}"/>
              </c:ext>
            </c:extLst>
          </c:dPt>
          <c:dPt>
            <c:idx val="4"/>
            <c:bubble3D val="0"/>
            <c:spPr>
              <a:solidFill>
                <a:srgbClr val="3366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4-8F38-4881-9519-50F630DFF511}"/>
              </c:ext>
            </c:extLst>
          </c:dPt>
          <c:dLbls>
            <c:dLbl>
              <c:idx val="0"/>
              <c:layout>
                <c:manualLayout>
                  <c:x val="-0.14100630355128643"/>
                  <c:y val="-7.762112343656400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8F38-4881-9519-50F630DFF511}"/>
                </c:ext>
              </c:extLst>
            </c:dLbl>
            <c:dLbl>
              <c:idx val="1"/>
              <c:layout>
                <c:manualLayout>
                  <c:x val="8.8522541794514076E-2"/>
                  <c:y val="-0.11141263162452998"/>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F38-4881-9519-50F630DFF511}"/>
                </c:ext>
              </c:extLst>
            </c:dLbl>
            <c:dLbl>
              <c:idx val="2"/>
              <c:layout>
                <c:manualLayout>
                  <c:x val="9.9354415661940212E-2"/>
                  <c:y val="4.3347142331314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8F38-4881-9519-50F630DFF511}"/>
                </c:ext>
              </c:extLst>
            </c:dLbl>
            <c:dLbl>
              <c:idx val="3"/>
              <c:layout>
                <c:manualLayout>
                  <c:x val="5.1717862718540154E-2"/>
                  <c:y val="0.11437170262058216"/>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F38-4881-9519-50F630DFF511}"/>
                </c:ext>
              </c:extLst>
            </c:dLbl>
            <c:dLbl>
              <c:idx val="4"/>
              <c:layout>
                <c:manualLayout>
                  <c:x val="1.7333089245140203E-2"/>
                  <c:y val="0.11368353818284165"/>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8F38-4881-9519-50F630DFF511}"/>
                </c:ext>
              </c:extLst>
            </c:dLbl>
            <c:numFmt formatCode="0%" sourceLinked="0"/>
            <c:spPr>
              <a:noFill/>
              <a:ln w="25400">
                <a:noFill/>
              </a:ln>
            </c:spPr>
            <c:txPr>
              <a:bodyPr/>
              <a:lstStyle/>
              <a:p>
                <a:pPr algn="ctr" rtl="1">
                  <a:defRPr sz="1100" b="0" i="0" u="none" strike="noStrike" baseline="0">
                    <a:solidFill>
                      <a:srgbClr val="000000"/>
                    </a:solidFill>
                    <a:latin typeface="Arial"/>
                    <a:ea typeface="Arial"/>
                    <a:cs typeface="Arial"/>
                  </a:defRPr>
                </a:pPr>
                <a:endParaRPr lang="ca-ES"/>
              </a:p>
            </c:txPr>
            <c:showLegendKey val="0"/>
            <c:showVal val="0"/>
            <c:showCatName val="0"/>
            <c:showSerName val="0"/>
            <c:showPercent val="1"/>
            <c:showBubbleSize val="0"/>
            <c:showLeaderLines val="1"/>
            <c:extLst>
              <c:ext xmlns:c15="http://schemas.microsoft.com/office/drawing/2012/chart" uri="{CE6537A1-D6FC-4f65-9D91-7224C49458BB}"/>
            </c:extLst>
          </c:dLbls>
          <c:cat>
            <c:strRef>
              <c:f>'OBLIGACIONS CAPITOL 7 CAIB'!$A$11:$A$15</c:f>
              <c:strCache>
                <c:ptCount val="5"/>
                <c:pt idx="0">
                  <c:v>A EMPRESES I ALTRES ENS CAIB (art. 74)</c:v>
                </c:pt>
                <c:pt idx="1">
                  <c:v>A CONSELLS INSULARS (concepte 761)</c:v>
                </c:pt>
                <c:pt idx="2">
                  <c:v>A AJUNTAMENTS (concepte 760, 764 y 769)</c:v>
                </c:pt>
                <c:pt idx="3">
                  <c:v>AL SISTEMA SANITARI (art. 72)</c:v>
                </c:pt>
                <c:pt idx="4">
                  <c:v>ALTRES OBLIGACIONS</c:v>
                </c:pt>
              </c:strCache>
            </c:strRef>
          </c:cat>
          <c:val>
            <c:numRef>
              <c:f>'OBLIGACIONS CAPITOL 7 CAIB'!$W$11:$W$15</c:f>
              <c:numCache>
                <c:formatCode>#,##0.00</c:formatCode>
                <c:ptCount val="5"/>
                <c:pt idx="0">
                  <c:v>276.64999999999998</c:v>
                </c:pt>
                <c:pt idx="1">
                  <c:v>49.81</c:v>
                </c:pt>
                <c:pt idx="2">
                  <c:v>62.25</c:v>
                </c:pt>
                <c:pt idx="3">
                  <c:v>55.71</c:v>
                </c:pt>
                <c:pt idx="4">
                  <c:v>9.25</c:v>
                </c:pt>
              </c:numCache>
            </c:numRef>
          </c:val>
          <c:extLst>
            <c:ext xmlns:c16="http://schemas.microsoft.com/office/drawing/2014/chart" uri="{C3380CC4-5D6E-409C-BE32-E72D297353CC}">
              <c16:uniqueId val="{00000005-8F38-4881-9519-50F630DFF511}"/>
            </c:ext>
          </c:extLst>
        </c:ser>
        <c:dLbls>
          <c:showLegendKey val="0"/>
          <c:showVal val="0"/>
          <c:showCatName val="0"/>
          <c:showSerName val="0"/>
          <c:showPercent val="1"/>
          <c:showBubbleSize val="0"/>
          <c:showLeaderLines val="1"/>
        </c:dLbls>
      </c:pie3DChart>
    </c:plotArea>
    <c:legend>
      <c:legendPos val="r"/>
      <c:layout>
        <c:manualLayout>
          <c:xMode val="edge"/>
          <c:yMode val="edge"/>
          <c:x val="0.56115435040517336"/>
          <c:y val="0.103619153904974"/>
          <c:w val="0.40302268244770556"/>
          <c:h val="0.78119113433460663"/>
        </c:manualLayout>
      </c:layout>
      <c:overlay val="0"/>
      <c:spPr>
        <a:solidFill>
          <a:srgbClr val="FFFFFF"/>
        </a:solidFill>
        <a:ln w="3175">
          <a:solidFill>
            <a:srgbClr val="000000"/>
          </a:solidFill>
          <a:prstDash val="solid"/>
        </a:ln>
      </c:spPr>
      <c:txPr>
        <a:bodyPr/>
        <a:lstStyle/>
        <a:p>
          <a:pPr>
            <a:defRPr lang="es-ES" sz="800" b="0" i="0" u="none" strike="noStrike" baseline="0">
              <a:solidFill>
                <a:srgbClr val="000000"/>
              </a:solidFill>
              <a:latin typeface="Arial"/>
              <a:ea typeface="Arial"/>
              <a:cs typeface="Arial"/>
            </a:defRPr>
          </a:pPr>
          <a:endParaRPr lang="ca-ES"/>
        </a:p>
      </c:txPr>
    </c:legend>
    <c:plotVisOnly val="1"/>
    <c:dispBlanksAs val="zero"/>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b="1" i="0" u="none" strike="noStrike" baseline="0">
                <a:solidFill>
                  <a:srgbClr val="000000"/>
                </a:solidFill>
                <a:latin typeface="Arial"/>
                <a:ea typeface="Arial"/>
                <a:cs typeface="Arial"/>
              </a:defRPr>
            </a:pPr>
            <a:r>
              <a:rPr lang="es-ES" sz="1100"/>
              <a:t>AÑO 2011</a:t>
            </a:r>
          </a:p>
        </c:rich>
      </c:tx>
      <c:layout>
        <c:manualLayout>
          <c:xMode val="edge"/>
          <c:yMode val="edge"/>
          <c:x val="0.41111131696773201"/>
          <c:y val="4.1841067738873076E-2"/>
        </c:manualLayout>
      </c:layout>
      <c:overlay val="0"/>
      <c:spPr>
        <a:noFill/>
        <a:ln w="25400">
          <a:noFill/>
        </a:ln>
      </c:spPr>
    </c:title>
    <c:autoTitleDeleted val="0"/>
    <c:view3D>
      <c:rotX val="75"/>
      <c:rotY val="0"/>
      <c:rAngAx val="0"/>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1.1300262108384779E-2"/>
          <c:y val="0.17802200256882791"/>
          <c:w val="0.5696066221387408"/>
          <c:h val="0.81350712012062232"/>
        </c:manualLayout>
      </c:layout>
      <c:pie3DChart>
        <c:varyColors val="1"/>
        <c:ser>
          <c:idx val="0"/>
          <c:order val="0"/>
          <c:tx>
            <c:strRef>
              <c:f>'OBLIGACIONS CAPS. 4 -7 CAIB'!$M$7</c:f>
              <c:strCache>
                <c:ptCount val="1"/>
                <c:pt idx="0">
                  <c:v>2010</c:v>
                </c:pt>
              </c:strCache>
            </c:strRef>
          </c:tx>
          <c:spPr>
            <a:solidFill>
              <a:srgbClr val="FFFF00"/>
            </a:solidFill>
            <a:ln w="12700">
              <a:solidFill>
                <a:srgbClr val="000000"/>
              </a:solidFill>
              <a:prstDash val="solid"/>
            </a:ln>
          </c:spPr>
          <c:dPt>
            <c:idx val="0"/>
            <c:bubble3D val="0"/>
            <c:spPr>
              <a:solidFill>
                <a:srgbClr val="0070C0"/>
              </a:solidFill>
              <a:ln w="12700">
                <a:solidFill>
                  <a:srgbClr val="000000"/>
                </a:solidFill>
                <a:prstDash val="solid"/>
              </a:ln>
            </c:spPr>
            <c:extLst>
              <c:ext xmlns:c16="http://schemas.microsoft.com/office/drawing/2014/chart" uri="{C3380CC4-5D6E-409C-BE32-E72D297353CC}">
                <c16:uniqueId val="{00000000-913A-486C-8680-4C43048766FC}"/>
              </c:ext>
            </c:extLst>
          </c:dPt>
          <c:dLbls>
            <c:numFmt formatCode="0%" sourceLinked="0"/>
            <c:spPr>
              <a:noFill/>
              <a:ln w="25400">
                <a:noFill/>
              </a:ln>
            </c:spPr>
            <c:txPr>
              <a:bodyPr/>
              <a:lstStyle/>
              <a:p>
                <a:pPr algn="ctr" rtl="1">
                  <a:defRPr sz="1100" b="0" i="0" u="none" strike="noStrike" baseline="0">
                    <a:solidFill>
                      <a:srgbClr val="000000"/>
                    </a:solidFill>
                    <a:latin typeface="Arial"/>
                    <a:ea typeface="Arial"/>
                    <a:cs typeface="Arial"/>
                  </a:defRPr>
                </a:pPr>
                <a:endParaRPr lang="ca-ES"/>
              </a:p>
            </c:txPr>
            <c:showLegendKey val="0"/>
            <c:showVal val="0"/>
            <c:showCatName val="0"/>
            <c:showSerName val="0"/>
            <c:showPercent val="1"/>
            <c:showBubbleSize val="0"/>
            <c:showLeaderLines val="0"/>
            <c:extLst>
              <c:ext xmlns:c15="http://schemas.microsoft.com/office/drawing/2012/chart" uri="{CE6537A1-D6FC-4f65-9D91-7224C49458BB}"/>
            </c:extLst>
          </c:dLbls>
          <c:cat>
            <c:strRef>
              <c:f>'OBLIGACIONS CAPS. 4 -7 CAIB'!$A$9:$A$10</c:f>
              <c:strCache>
                <c:ptCount val="2"/>
                <c:pt idx="0">
                  <c:v>OBLIGACIONS CAPÍTOL 4</c:v>
                </c:pt>
                <c:pt idx="1">
                  <c:v>OBLIGACIONS CAPÍTOL 7</c:v>
                </c:pt>
              </c:strCache>
            </c:strRef>
          </c:cat>
          <c:val>
            <c:numRef>
              <c:f>'OBLIGACIONS CAPS. 4 -7 CAIB'!$M$9:$M$10</c:f>
            </c:numRef>
          </c:val>
          <c:extLst>
            <c:ext xmlns:c16="http://schemas.microsoft.com/office/drawing/2014/chart" uri="{C3380CC4-5D6E-409C-BE32-E72D297353CC}">
              <c16:uniqueId val="{00000001-913A-486C-8680-4C43048766FC}"/>
            </c:ext>
          </c:extLst>
        </c:ser>
        <c:ser>
          <c:idx val="1"/>
          <c:order val="1"/>
          <c:tx>
            <c:strRef>
              <c:f>'OBLIGACIONS CAPS. 4 -7 CAIB'!$N$7</c:f>
              <c:strCache>
                <c:ptCount val="1"/>
                <c:pt idx="0">
                  <c:v>2012</c:v>
                </c:pt>
              </c:strCache>
            </c:strRef>
          </c:tx>
          <c:spPr>
            <a:solidFill>
              <a:srgbClr val="00FFFF"/>
            </a:solidFill>
            <a:effectLst>
              <a:outerShdw blurRad="50800" dist="38100" dir="2700000" algn="tl" rotWithShape="0">
                <a:prstClr val="black">
                  <a:alpha val="40000"/>
                </a:prstClr>
              </a:outerShdw>
            </a:effectLst>
            <a:scene3d>
              <a:camera prst="orthographicFront"/>
              <a:lightRig rig="threePt" dir="t"/>
            </a:scene3d>
            <a:sp3d prstMaterial="dkEdge">
              <a:bevelT w="152400"/>
            </a:sp3d>
          </c:spPr>
          <c:dPt>
            <c:idx val="1"/>
            <c:bubble3D val="0"/>
            <c:spPr>
              <a:solidFill>
                <a:srgbClr val="3366FF"/>
              </a:solidFill>
              <a:effectLst>
                <a:outerShdw blurRad="50800" dist="38100" dir="2700000" algn="tl" rotWithShape="0">
                  <a:prstClr val="black">
                    <a:alpha val="40000"/>
                  </a:prstClr>
                </a:outerShdw>
              </a:effectLst>
              <a:scene3d>
                <a:camera prst="orthographicFront"/>
                <a:lightRig rig="threePt" dir="t"/>
              </a:scene3d>
              <a:sp3d prstMaterial="dkEdge">
                <a:bevelT w="152400"/>
              </a:sp3d>
            </c:spPr>
            <c:extLst>
              <c:ext xmlns:c16="http://schemas.microsoft.com/office/drawing/2014/chart" uri="{C3380CC4-5D6E-409C-BE32-E72D297353CC}">
                <c16:uniqueId val="{00000001-5E5F-4ECB-B29E-8D80B8DA559C}"/>
              </c:ext>
            </c:extLst>
          </c:dPt>
          <c:dLbls>
            <c:dLbl>
              <c:idx val="0"/>
              <c:layout>
                <c:manualLayout>
                  <c:x val="-7.6995172254185937E-2"/>
                  <c:y val="-0.22413179203663372"/>
                </c:manualLayout>
              </c:layout>
              <c:spPr>
                <a:ln>
                  <a:noFill/>
                </a:ln>
              </c:spPr>
              <c:txPr>
                <a:bodyPr/>
                <a:lstStyle/>
                <a:p>
                  <a:pPr>
                    <a:defRPr sz="1000" baseline="0"/>
                  </a:pPr>
                  <a:endParaRPr lang="ca-E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5E5F-4ECB-B29E-8D80B8DA559C}"/>
                </c:ext>
              </c:extLst>
            </c:dLbl>
            <c:dLbl>
              <c:idx val="1"/>
              <c:layout>
                <c:manualLayout>
                  <c:x val="5.5424997712606533E-2"/>
                  <c:y val="0.13710169207572459"/>
                </c:manualLayout>
              </c:layout>
              <c:spPr>
                <a:ln>
                  <a:noFill/>
                </a:ln>
              </c:spPr>
              <c:txPr>
                <a:bodyPr/>
                <a:lstStyle/>
                <a:p>
                  <a:pPr>
                    <a:defRPr sz="1000" baseline="0"/>
                  </a:pPr>
                  <a:endParaRPr lang="ca-E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E5F-4ECB-B29E-8D80B8DA559C}"/>
                </c:ext>
              </c:extLst>
            </c:dLbl>
            <c:spPr>
              <a:ln>
                <a:noFill/>
              </a:ln>
            </c:spPr>
            <c:showLegendKey val="0"/>
            <c:showVal val="0"/>
            <c:showCatName val="0"/>
            <c:showSerName val="0"/>
            <c:showPercent val="1"/>
            <c:showBubbleSize val="0"/>
            <c:showLeaderLines val="0"/>
            <c:extLst>
              <c:ext xmlns:c15="http://schemas.microsoft.com/office/drawing/2012/chart" uri="{CE6537A1-D6FC-4f65-9D91-7224C49458BB}"/>
            </c:extLst>
          </c:dLbls>
          <c:cat>
            <c:strRef>
              <c:f>'OBLIGACIONS CAPS. 4 -7 CAIB'!$A$9:$A$10</c:f>
              <c:strCache>
                <c:ptCount val="2"/>
                <c:pt idx="0">
                  <c:v>OBLIGACIONS CAPÍTOL 4</c:v>
                </c:pt>
                <c:pt idx="1">
                  <c:v>OBLIGACIONS CAPÍTOL 7</c:v>
                </c:pt>
              </c:strCache>
            </c:strRef>
          </c:cat>
          <c:val>
            <c:numRef>
              <c:f>'OBLIGACIONS CAPS. 4 -7 CAIB'!$N$9:$N$10</c:f>
              <c:numCache>
                <c:formatCode>#,##0.00</c:formatCode>
                <c:ptCount val="2"/>
                <c:pt idx="0">
                  <c:v>3701.4977252800004</c:v>
                </c:pt>
                <c:pt idx="1">
                  <c:v>287.83398783999996</c:v>
                </c:pt>
              </c:numCache>
            </c:numRef>
          </c:val>
          <c:extLst>
            <c:ext xmlns:c16="http://schemas.microsoft.com/office/drawing/2014/chart" uri="{C3380CC4-5D6E-409C-BE32-E72D297353CC}">
              <c16:uniqueId val="{00000003-5E5F-4ECB-B29E-8D80B8DA559C}"/>
            </c:ext>
          </c:extLst>
        </c:ser>
        <c:dLbls>
          <c:showLegendKey val="0"/>
          <c:showVal val="0"/>
          <c:showCatName val="0"/>
          <c:showSerName val="0"/>
          <c:showPercent val="1"/>
          <c:showBubbleSize val="0"/>
          <c:showLeaderLines val="0"/>
        </c:dLbls>
      </c:pie3DChart>
      <c:spPr>
        <a:scene3d>
          <a:camera prst="orthographicFront"/>
          <a:lightRig rig="threePt" dir="t"/>
        </a:scene3d>
        <a:sp3d>
          <a:bevelT w="6350"/>
        </a:sp3d>
      </c:spPr>
    </c:plotArea>
    <c:legend>
      <c:legendPos val="r"/>
      <c:legendEntry>
        <c:idx val="0"/>
        <c:txPr>
          <a:bodyPr/>
          <a:lstStyle/>
          <a:p>
            <a:pPr rtl="0">
              <a:defRPr lang="es-ES" sz="800" b="0" i="0" u="none" strike="noStrike" baseline="0">
                <a:solidFill>
                  <a:srgbClr val="000000"/>
                </a:solidFill>
                <a:latin typeface="Arial"/>
                <a:ea typeface="Arial"/>
                <a:cs typeface="Arial"/>
              </a:defRPr>
            </a:pPr>
            <a:endParaRPr lang="ca-ES"/>
          </a:p>
        </c:txPr>
      </c:legendEntry>
      <c:legendEntry>
        <c:idx val="1"/>
        <c:txPr>
          <a:bodyPr/>
          <a:lstStyle/>
          <a:p>
            <a:pPr rtl="0">
              <a:defRPr lang="es-ES" sz="800" b="0" i="0" u="none" strike="noStrike" baseline="0">
                <a:solidFill>
                  <a:srgbClr val="000000"/>
                </a:solidFill>
                <a:latin typeface="Arial"/>
                <a:ea typeface="Arial"/>
                <a:cs typeface="Arial"/>
              </a:defRPr>
            </a:pPr>
            <a:endParaRPr lang="ca-ES"/>
          </a:p>
        </c:txPr>
      </c:legendEntry>
      <c:layout>
        <c:manualLayout>
          <c:xMode val="edge"/>
          <c:yMode val="edge"/>
          <c:x val="0.61146301688365512"/>
          <c:y val="0.37656916289719156"/>
          <c:w val="0.33230563882863967"/>
          <c:h val="0.25265829005416884"/>
        </c:manualLayout>
      </c:layout>
      <c:overlay val="0"/>
      <c:spPr>
        <a:solidFill>
          <a:srgbClr val="FFFFFF"/>
        </a:solidFill>
        <a:ln w="3175">
          <a:solidFill>
            <a:srgbClr val="000000"/>
          </a:solidFill>
          <a:prstDash val="solid"/>
        </a:ln>
      </c:spPr>
      <c:txPr>
        <a:bodyPr/>
        <a:lstStyle/>
        <a:p>
          <a:pPr rtl="0">
            <a:defRPr lang="es-ES" sz="735" b="0" i="0" u="none" strike="noStrike" baseline="0">
              <a:solidFill>
                <a:srgbClr val="000000"/>
              </a:solidFill>
              <a:latin typeface="Arial"/>
              <a:ea typeface="Arial"/>
              <a:cs typeface="Arial"/>
            </a:defRPr>
          </a:pPr>
          <a:endParaRPr lang="ca-ES"/>
        </a:p>
      </c:txPr>
    </c:legend>
    <c:plotVisOnly val="1"/>
    <c:dispBlanksAs val="zero"/>
    <c:showDLblsOverMax val="0"/>
  </c:chart>
  <c:spPr>
    <a:gradFill>
      <a:gsLst>
        <a:gs pos="0">
          <a:srgbClr val="CCFFFF"/>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b="1" i="0" u="none" strike="noStrike" baseline="0">
                <a:solidFill>
                  <a:srgbClr val="000000"/>
                </a:solidFill>
                <a:latin typeface="Arial"/>
                <a:ea typeface="Arial"/>
                <a:cs typeface="Arial"/>
              </a:defRPr>
            </a:pPr>
            <a:r>
              <a:rPr lang="es-ES" sz="1100"/>
              <a:t>AÑO 2020</a:t>
            </a:r>
          </a:p>
          <a:p>
            <a:pPr>
              <a:defRPr lang="es-ES" sz="1100" b="1" i="0" u="none" strike="noStrike" baseline="0">
                <a:solidFill>
                  <a:srgbClr val="000000"/>
                </a:solidFill>
                <a:latin typeface="Arial"/>
                <a:ea typeface="Arial"/>
                <a:cs typeface="Arial"/>
              </a:defRPr>
            </a:pPr>
            <a:endParaRPr lang="es-ES" sz="1100"/>
          </a:p>
        </c:rich>
      </c:tx>
      <c:layout>
        <c:manualLayout>
          <c:xMode val="edge"/>
          <c:yMode val="edge"/>
          <c:x val="0.41246304738223538"/>
          <c:y val="4.2372881355933985E-2"/>
        </c:manualLayout>
      </c:layout>
      <c:overlay val="0"/>
      <c:spPr>
        <a:noFill/>
        <a:ln w="25400">
          <a:noFill/>
        </a:ln>
      </c:spPr>
    </c:title>
    <c:autoTitleDeleted val="0"/>
    <c:view3D>
      <c:rotX val="75"/>
      <c:rotY val="0"/>
      <c:rAngAx val="0"/>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4.2598486512222124E-2"/>
          <c:y val="0.15423150496018506"/>
          <c:w val="0.53704738282959263"/>
          <c:h val="0.7916535433070867"/>
        </c:manualLayout>
      </c:layout>
      <c:pie3DChart>
        <c:varyColors val="1"/>
        <c:ser>
          <c:idx val="0"/>
          <c:order val="0"/>
          <c:tx>
            <c:strRef>
              <c:f>'OBLIGACIONS CAPS. 4 -7 CAIB'!$W$7</c:f>
              <c:strCache>
                <c:ptCount val="1"/>
                <c:pt idx="0">
                  <c:v>2021</c:v>
                </c:pt>
              </c:strCache>
            </c:strRef>
          </c:tx>
          <c:spPr>
            <a:solidFill>
              <a:srgbClr val="0070C0"/>
            </a:solidFill>
            <a:ln w="12700">
              <a:solidFill>
                <a:srgbClr val="000000"/>
              </a:solidFill>
              <a:prstDash val="solid"/>
            </a:ln>
          </c:spPr>
          <c:dPt>
            <c:idx val="0"/>
            <c:bubble3D val="0"/>
            <c:spPr>
              <a:solidFill>
                <a:srgbClr val="00FF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0-C30B-4725-B6B0-4D425F88B478}"/>
              </c:ext>
            </c:extLst>
          </c:dPt>
          <c:dPt>
            <c:idx val="1"/>
            <c:bubble3D val="0"/>
            <c:spPr>
              <a:solidFill>
                <a:srgbClr val="3366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0-66DF-4A1B-9559-8BEC2F6F2462}"/>
              </c:ext>
            </c:extLst>
          </c:dPt>
          <c:dLbls>
            <c:dLbl>
              <c:idx val="0"/>
              <c:layout>
                <c:manualLayout>
                  <c:x val="-6.6445286109206497E-2"/>
                  <c:y val="-0.2663828462120206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C30B-4725-B6B0-4D425F88B478}"/>
                </c:ext>
              </c:extLst>
            </c:dLbl>
            <c:dLbl>
              <c:idx val="1"/>
              <c:layout>
                <c:manualLayout>
                  <c:x val="5.2918216672841606E-2"/>
                  <c:y val="0.11986298322879139"/>
                </c:manualLayout>
              </c:layout>
              <c:tx>
                <c:rich>
                  <a:bodyPr/>
                  <a:lstStyle/>
                  <a:p>
                    <a:pPr algn="ctr" rtl="1">
                      <a:defRPr sz="800" b="0" i="0" u="none" strike="noStrike" baseline="0">
                        <a:solidFill>
                          <a:srgbClr val="000000"/>
                        </a:solidFill>
                        <a:latin typeface="Arial"/>
                        <a:ea typeface="Arial"/>
                        <a:cs typeface="Arial"/>
                      </a:defRPr>
                    </a:pPr>
                    <a:r>
                      <a:rPr lang="es-ES" sz="1000" baseline="0"/>
                      <a:t>12</a:t>
                    </a:r>
                    <a:r>
                      <a:rPr lang="es-ES" sz="800" baseline="0"/>
                      <a:t>%</a:t>
                    </a:r>
                  </a:p>
                </c:rich>
              </c:tx>
              <c:numFmt formatCode="0%" sourceLinked="0"/>
              <c:spPr>
                <a:noFill/>
                <a:ln w="25400">
                  <a:noFill/>
                </a:ln>
              </c:spPr>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0-66DF-4A1B-9559-8BEC2F6F2462}"/>
                </c:ext>
              </c:extLst>
            </c:dLbl>
            <c:numFmt formatCode="0%" sourceLinked="0"/>
            <c:spPr>
              <a:noFill/>
              <a:ln w="25400">
                <a:noFill/>
              </a:ln>
            </c:spPr>
            <c:txPr>
              <a:bodyPr/>
              <a:lstStyle/>
              <a:p>
                <a:pPr algn="ctr" rtl="1">
                  <a:defRPr sz="1000" b="0" i="0" u="none" strike="noStrike" baseline="0">
                    <a:solidFill>
                      <a:srgbClr val="000000"/>
                    </a:solidFill>
                    <a:latin typeface="Arial"/>
                    <a:ea typeface="Arial"/>
                    <a:cs typeface="Arial"/>
                  </a:defRPr>
                </a:pPr>
                <a:endParaRPr lang="ca-ES"/>
              </a:p>
            </c:txPr>
            <c:showLegendKey val="0"/>
            <c:showVal val="0"/>
            <c:showCatName val="0"/>
            <c:showSerName val="0"/>
            <c:showPercent val="1"/>
            <c:showBubbleSize val="0"/>
            <c:showLeaderLines val="0"/>
            <c:extLst>
              <c:ext xmlns:c15="http://schemas.microsoft.com/office/drawing/2012/chart" uri="{CE6537A1-D6FC-4f65-9D91-7224C49458BB}"/>
            </c:extLst>
          </c:dLbls>
          <c:cat>
            <c:strRef>
              <c:f>'OBLIGACIONS CAPS. 4 -7 CAIB'!$A$9:$A$10</c:f>
              <c:strCache>
                <c:ptCount val="2"/>
                <c:pt idx="0">
                  <c:v>OBLIGACIONS CAPÍTOL 4</c:v>
                </c:pt>
                <c:pt idx="1">
                  <c:v>OBLIGACIONS CAPÍTOL 7</c:v>
                </c:pt>
              </c:strCache>
            </c:strRef>
          </c:cat>
          <c:val>
            <c:numRef>
              <c:f>'OBLIGACIONS CAPS. 4 -7 CAIB'!$W$9:$W$10</c:f>
              <c:numCache>
                <c:formatCode>#,##0.00</c:formatCode>
                <c:ptCount val="2"/>
                <c:pt idx="0">
                  <c:v>3881.37</c:v>
                </c:pt>
                <c:pt idx="1">
                  <c:v>453.67</c:v>
                </c:pt>
              </c:numCache>
            </c:numRef>
          </c:val>
          <c:extLst>
            <c:ext xmlns:c16="http://schemas.microsoft.com/office/drawing/2014/chart" uri="{C3380CC4-5D6E-409C-BE32-E72D297353CC}">
              <c16:uniqueId val="{00000001-66DF-4A1B-9559-8BEC2F6F2462}"/>
            </c:ext>
          </c:extLst>
        </c:ser>
        <c:dLbls>
          <c:showLegendKey val="0"/>
          <c:showVal val="0"/>
          <c:showCatName val="0"/>
          <c:showSerName val="0"/>
          <c:showPercent val="1"/>
          <c:showBubbleSize val="0"/>
          <c:showLeaderLines val="0"/>
        </c:dLbls>
      </c:pie3DChart>
    </c:plotArea>
    <c:legend>
      <c:legendPos val="r"/>
      <c:legendEntry>
        <c:idx val="0"/>
        <c:txPr>
          <a:bodyPr/>
          <a:lstStyle/>
          <a:p>
            <a:pPr>
              <a:defRPr lang="es-ES" sz="800" b="0" i="0" u="none" strike="noStrike" baseline="0">
                <a:solidFill>
                  <a:srgbClr val="000000"/>
                </a:solidFill>
                <a:latin typeface="Arial"/>
                <a:ea typeface="Arial"/>
                <a:cs typeface="Arial"/>
              </a:defRPr>
            </a:pPr>
            <a:endParaRPr lang="ca-ES"/>
          </a:p>
        </c:txPr>
      </c:legendEntry>
      <c:legendEntry>
        <c:idx val="1"/>
        <c:txPr>
          <a:bodyPr/>
          <a:lstStyle/>
          <a:p>
            <a:pPr>
              <a:defRPr lang="es-ES" sz="800" b="0" i="0" u="none" strike="noStrike" baseline="0">
                <a:solidFill>
                  <a:srgbClr val="000000"/>
                </a:solidFill>
                <a:latin typeface="Arial"/>
                <a:ea typeface="Arial"/>
                <a:cs typeface="Arial"/>
              </a:defRPr>
            </a:pPr>
            <a:endParaRPr lang="ca-ES"/>
          </a:p>
        </c:txPr>
      </c:legendEntry>
      <c:layout>
        <c:manualLayout>
          <c:xMode val="edge"/>
          <c:yMode val="edge"/>
          <c:x val="0.65875458550138555"/>
          <c:y val="0.36864406779661735"/>
          <c:w val="0.29887297297750492"/>
          <c:h val="0.24236754304017091"/>
        </c:manualLayout>
      </c:layout>
      <c:overlay val="0"/>
      <c:spPr>
        <a:solidFill>
          <a:srgbClr val="FFFFFF"/>
        </a:solidFill>
        <a:ln w="3175">
          <a:solidFill>
            <a:srgbClr val="000000"/>
          </a:solidFill>
          <a:prstDash val="solid"/>
        </a:ln>
      </c:spPr>
      <c:txPr>
        <a:bodyPr/>
        <a:lstStyle/>
        <a:p>
          <a:pPr>
            <a:defRPr lang="es-ES" sz="735" b="0" i="0" u="none" strike="noStrike" baseline="0">
              <a:solidFill>
                <a:srgbClr val="000000"/>
              </a:solidFill>
              <a:latin typeface="Arial"/>
              <a:ea typeface="Arial"/>
              <a:cs typeface="Arial"/>
            </a:defRPr>
          </a:pPr>
          <a:endParaRPr lang="ca-ES"/>
        </a:p>
      </c:txPr>
    </c:legend>
    <c:plotVisOnly val="1"/>
    <c:dispBlanksAs val="zero"/>
    <c:showDLblsOverMax val="0"/>
  </c:chart>
  <c:spPr>
    <a:gradFill>
      <a:gsLst>
        <a:gs pos="0">
          <a:srgbClr val="CCFFFF"/>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b="1" i="0" u="none" strike="noStrike" baseline="0">
                <a:solidFill>
                  <a:srgbClr val="000000"/>
                </a:solidFill>
                <a:latin typeface="Arial"/>
                <a:ea typeface="Arial"/>
                <a:cs typeface="Arial"/>
              </a:defRPr>
            </a:pPr>
            <a:r>
              <a:rPr lang="es-ES" sz="1100"/>
              <a:t>AÑO 2016</a:t>
            </a:r>
          </a:p>
        </c:rich>
      </c:tx>
      <c:layout>
        <c:manualLayout>
          <c:xMode val="edge"/>
          <c:yMode val="edge"/>
          <c:x val="0.41111131696773201"/>
          <c:y val="4.1841067738873076E-2"/>
        </c:manualLayout>
      </c:layout>
      <c:overlay val="0"/>
      <c:spPr>
        <a:noFill/>
        <a:ln w="25400">
          <a:noFill/>
        </a:ln>
      </c:spPr>
    </c:title>
    <c:autoTitleDeleted val="0"/>
    <c:view3D>
      <c:rotX val="75"/>
      <c:rotY val="0"/>
      <c:rAngAx val="0"/>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1.1300262108384779E-2"/>
          <c:y val="0.17802200256882791"/>
          <c:w val="0.56960662213874103"/>
          <c:h val="0.8135071201206221"/>
        </c:manualLayout>
      </c:layout>
      <c:pie3DChart>
        <c:varyColors val="1"/>
        <c:ser>
          <c:idx val="0"/>
          <c:order val="0"/>
          <c:tx>
            <c:strRef>
              <c:f>'OBLIGACIONS CAPS. 4 -7 CAIB'!$M$7</c:f>
              <c:strCache>
                <c:ptCount val="1"/>
                <c:pt idx="0">
                  <c:v>2010</c:v>
                </c:pt>
              </c:strCache>
            </c:strRef>
          </c:tx>
          <c:spPr>
            <a:solidFill>
              <a:srgbClr val="FFFF00"/>
            </a:solidFill>
            <a:ln w="12700">
              <a:solidFill>
                <a:srgbClr val="000000"/>
              </a:solidFill>
              <a:prstDash val="solid"/>
            </a:ln>
          </c:spPr>
          <c:dPt>
            <c:idx val="0"/>
            <c:bubble3D val="0"/>
            <c:spPr>
              <a:solidFill>
                <a:srgbClr val="0070C0"/>
              </a:solidFill>
              <a:ln w="12700">
                <a:solidFill>
                  <a:srgbClr val="000000"/>
                </a:solidFill>
                <a:prstDash val="solid"/>
              </a:ln>
            </c:spPr>
            <c:extLst>
              <c:ext xmlns:c16="http://schemas.microsoft.com/office/drawing/2014/chart" uri="{C3380CC4-5D6E-409C-BE32-E72D297353CC}">
                <c16:uniqueId val="{00000000-913A-486C-8680-4C43048766FC}"/>
              </c:ext>
            </c:extLst>
          </c:dPt>
          <c:dLbls>
            <c:numFmt formatCode="0%" sourceLinked="0"/>
            <c:spPr>
              <a:noFill/>
              <a:ln w="25400">
                <a:noFill/>
              </a:ln>
            </c:spPr>
            <c:txPr>
              <a:bodyPr/>
              <a:lstStyle/>
              <a:p>
                <a:pPr algn="ctr" rtl="1">
                  <a:defRPr sz="1100" b="0" i="0" u="none" strike="noStrike" baseline="0">
                    <a:solidFill>
                      <a:srgbClr val="000000"/>
                    </a:solidFill>
                    <a:latin typeface="Arial"/>
                    <a:ea typeface="Arial"/>
                    <a:cs typeface="Arial"/>
                  </a:defRPr>
                </a:pPr>
                <a:endParaRPr lang="ca-ES"/>
              </a:p>
            </c:txPr>
            <c:showLegendKey val="0"/>
            <c:showVal val="0"/>
            <c:showCatName val="0"/>
            <c:showSerName val="0"/>
            <c:showPercent val="1"/>
            <c:showBubbleSize val="0"/>
            <c:showLeaderLines val="0"/>
            <c:extLst>
              <c:ext xmlns:c15="http://schemas.microsoft.com/office/drawing/2012/chart" uri="{CE6537A1-D6FC-4f65-9D91-7224C49458BB}"/>
            </c:extLst>
          </c:dLbls>
          <c:cat>
            <c:strRef>
              <c:f>'OBLIGACIONS CAPS. 4 -7 CAIB'!$A$9:$A$10</c:f>
              <c:strCache>
                <c:ptCount val="2"/>
                <c:pt idx="0">
                  <c:v>OBLIGACIONS CAPÍTOL 4</c:v>
                </c:pt>
                <c:pt idx="1">
                  <c:v>OBLIGACIONS CAPÍTOL 7</c:v>
                </c:pt>
              </c:strCache>
            </c:strRef>
          </c:cat>
          <c:val>
            <c:numRef>
              <c:f>'OBLIGACIONS CAPS. 4 -7 CAIB'!$M$9:$M$10</c:f>
            </c:numRef>
          </c:val>
          <c:extLst>
            <c:ext xmlns:c16="http://schemas.microsoft.com/office/drawing/2014/chart" uri="{C3380CC4-5D6E-409C-BE32-E72D297353CC}">
              <c16:uniqueId val="{00000001-913A-486C-8680-4C43048766FC}"/>
            </c:ext>
          </c:extLst>
        </c:ser>
        <c:ser>
          <c:idx val="1"/>
          <c:order val="1"/>
          <c:tx>
            <c:strRef>
              <c:f>'OBLIGACIONS CAPS. 4 -7 CAIB'!$S$7</c:f>
              <c:strCache>
                <c:ptCount val="1"/>
                <c:pt idx="0">
                  <c:v>2017</c:v>
                </c:pt>
              </c:strCache>
            </c:strRef>
          </c:tx>
          <c:spPr>
            <a:solidFill>
              <a:srgbClr val="00FFFF"/>
            </a:solidFill>
            <a:effectLst>
              <a:outerShdw blurRad="50800" dist="38100" dir="2700000" algn="tl" rotWithShape="0">
                <a:prstClr val="black">
                  <a:alpha val="40000"/>
                </a:prstClr>
              </a:outerShdw>
            </a:effectLst>
            <a:scene3d>
              <a:camera prst="orthographicFront"/>
              <a:lightRig rig="threePt" dir="t"/>
            </a:scene3d>
            <a:sp3d prstMaterial="dkEdge">
              <a:bevelT w="152400"/>
            </a:sp3d>
          </c:spPr>
          <c:dPt>
            <c:idx val="1"/>
            <c:bubble3D val="0"/>
            <c:spPr>
              <a:solidFill>
                <a:srgbClr val="3366FF"/>
              </a:solidFill>
              <a:effectLst>
                <a:outerShdw blurRad="50800" dist="38100" dir="2700000" algn="tl" rotWithShape="0">
                  <a:prstClr val="black">
                    <a:alpha val="40000"/>
                  </a:prstClr>
                </a:outerShdw>
              </a:effectLst>
              <a:scene3d>
                <a:camera prst="orthographicFront"/>
                <a:lightRig rig="threePt" dir="t"/>
              </a:scene3d>
              <a:sp3d prstMaterial="dkEdge">
                <a:bevelT w="152400"/>
              </a:sp3d>
            </c:spPr>
            <c:extLst>
              <c:ext xmlns:c16="http://schemas.microsoft.com/office/drawing/2014/chart" uri="{C3380CC4-5D6E-409C-BE32-E72D297353CC}">
                <c16:uniqueId val="{00000001-0081-49EE-AE6E-928DB773B7D1}"/>
              </c:ext>
            </c:extLst>
          </c:dPt>
          <c:dLbls>
            <c:dLbl>
              <c:idx val="0"/>
              <c:layout>
                <c:manualLayout>
                  <c:x val="-7.6995172254185937E-2"/>
                  <c:y val="-0.22413179203663372"/>
                </c:manualLayout>
              </c:layout>
              <c:spPr>
                <a:ln>
                  <a:noFill/>
                </a:ln>
              </c:spPr>
              <c:txPr>
                <a:bodyPr/>
                <a:lstStyle/>
                <a:p>
                  <a:pPr>
                    <a:defRPr sz="1000" baseline="0"/>
                  </a:pPr>
                  <a:endParaRPr lang="ca-E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0081-49EE-AE6E-928DB773B7D1}"/>
                </c:ext>
              </c:extLst>
            </c:dLbl>
            <c:dLbl>
              <c:idx val="1"/>
              <c:layout>
                <c:manualLayout>
                  <c:x val="5.5424997712606533E-2"/>
                  <c:y val="0.13710169207572459"/>
                </c:manualLayout>
              </c:layout>
              <c:spPr>
                <a:ln>
                  <a:noFill/>
                </a:ln>
              </c:spPr>
              <c:txPr>
                <a:bodyPr/>
                <a:lstStyle/>
                <a:p>
                  <a:pPr>
                    <a:defRPr sz="1000" baseline="0"/>
                  </a:pPr>
                  <a:endParaRPr lang="ca-E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081-49EE-AE6E-928DB773B7D1}"/>
                </c:ext>
              </c:extLst>
            </c:dLbl>
            <c:spPr>
              <a:ln>
                <a:noFill/>
              </a:ln>
            </c:spPr>
            <c:showLegendKey val="0"/>
            <c:showVal val="0"/>
            <c:showCatName val="0"/>
            <c:showSerName val="0"/>
            <c:showPercent val="1"/>
            <c:showBubbleSize val="0"/>
            <c:showLeaderLines val="0"/>
            <c:extLst>
              <c:ext xmlns:c15="http://schemas.microsoft.com/office/drawing/2012/chart" uri="{CE6537A1-D6FC-4f65-9D91-7224C49458BB}"/>
            </c:extLst>
          </c:dLbls>
          <c:cat>
            <c:strRef>
              <c:f>'OBLIGACIONS CAPS. 4 -7 CAIB'!$A$9:$A$10</c:f>
              <c:strCache>
                <c:ptCount val="2"/>
                <c:pt idx="0">
                  <c:v>OBLIGACIONS CAPÍTOL 4</c:v>
                </c:pt>
                <c:pt idx="1">
                  <c:v>OBLIGACIONS CAPÍTOL 7</c:v>
                </c:pt>
              </c:strCache>
            </c:strRef>
          </c:cat>
          <c:val>
            <c:numRef>
              <c:f>'OBLIGACIONS CAPS. 4 -7 CAIB'!$S$9:$S$10</c:f>
              <c:numCache>
                <c:formatCode>#,##0.00</c:formatCode>
                <c:ptCount val="2"/>
                <c:pt idx="0">
                  <c:v>2410.5700000000002</c:v>
                </c:pt>
                <c:pt idx="1">
                  <c:v>465.98</c:v>
                </c:pt>
              </c:numCache>
            </c:numRef>
          </c:val>
          <c:extLst>
            <c:ext xmlns:c16="http://schemas.microsoft.com/office/drawing/2014/chart" uri="{C3380CC4-5D6E-409C-BE32-E72D297353CC}">
              <c16:uniqueId val="{00000003-0081-49EE-AE6E-928DB773B7D1}"/>
            </c:ext>
          </c:extLst>
        </c:ser>
        <c:dLbls>
          <c:showLegendKey val="0"/>
          <c:showVal val="0"/>
          <c:showCatName val="0"/>
          <c:showSerName val="0"/>
          <c:showPercent val="1"/>
          <c:showBubbleSize val="0"/>
          <c:showLeaderLines val="0"/>
        </c:dLbls>
      </c:pie3DChart>
      <c:spPr>
        <a:scene3d>
          <a:camera prst="orthographicFront"/>
          <a:lightRig rig="threePt" dir="t"/>
        </a:scene3d>
        <a:sp3d>
          <a:bevelT w="6350"/>
        </a:sp3d>
      </c:spPr>
    </c:plotArea>
    <c:legend>
      <c:legendPos val="r"/>
      <c:legendEntry>
        <c:idx val="0"/>
        <c:txPr>
          <a:bodyPr/>
          <a:lstStyle/>
          <a:p>
            <a:pPr rtl="0">
              <a:defRPr lang="es-ES" sz="800" b="0" i="0" u="none" strike="noStrike" baseline="0">
                <a:solidFill>
                  <a:srgbClr val="000000"/>
                </a:solidFill>
                <a:latin typeface="Arial"/>
                <a:ea typeface="Arial"/>
                <a:cs typeface="Arial"/>
              </a:defRPr>
            </a:pPr>
            <a:endParaRPr lang="ca-ES"/>
          </a:p>
        </c:txPr>
      </c:legendEntry>
      <c:legendEntry>
        <c:idx val="1"/>
        <c:txPr>
          <a:bodyPr/>
          <a:lstStyle/>
          <a:p>
            <a:pPr rtl="0">
              <a:defRPr lang="es-ES" sz="800" b="0" i="0" u="none" strike="noStrike" baseline="0">
                <a:solidFill>
                  <a:srgbClr val="000000"/>
                </a:solidFill>
                <a:latin typeface="Arial"/>
                <a:ea typeface="Arial"/>
                <a:cs typeface="Arial"/>
              </a:defRPr>
            </a:pPr>
            <a:endParaRPr lang="ca-ES"/>
          </a:p>
        </c:txPr>
      </c:legendEntry>
      <c:layout>
        <c:manualLayout>
          <c:xMode val="edge"/>
          <c:yMode val="edge"/>
          <c:x val="0.61146301688365512"/>
          <c:y val="0.37656916289719167"/>
          <c:w val="0.33230563882863984"/>
          <c:h val="0.25265829005416884"/>
        </c:manualLayout>
      </c:layout>
      <c:overlay val="0"/>
      <c:spPr>
        <a:solidFill>
          <a:srgbClr val="FFFFFF"/>
        </a:solidFill>
        <a:ln w="3175">
          <a:solidFill>
            <a:srgbClr val="000000"/>
          </a:solidFill>
          <a:prstDash val="solid"/>
        </a:ln>
      </c:spPr>
      <c:txPr>
        <a:bodyPr/>
        <a:lstStyle/>
        <a:p>
          <a:pPr rtl="0">
            <a:defRPr lang="es-ES" sz="735" b="0" i="0" u="none" strike="noStrike" baseline="0">
              <a:solidFill>
                <a:srgbClr val="000000"/>
              </a:solidFill>
              <a:latin typeface="Arial"/>
              <a:ea typeface="Arial"/>
              <a:cs typeface="Arial"/>
            </a:defRPr>
          </a:pPr>
          <a:endParaRPr lang="ca-ES"/>
        </a:p>
      </c:txPr>
    </c:legend>
    <c:plotVisOnly val="1"/>
    <c:dispBlanksAs val="zero"/>
    <c:showDLblsOverMax val="0"/>
  </c:chart>
  <c:spPr>
    <a:gradFill>
      <a:gsLst>
        <a:gs pos="0">
          <a:srgbClr val="CCFFFF"/>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325" b="1" i="0" u="none" strike="noStrike" baseline="0">
                <a:solidFill>
                  <a:srgbClr val="000000"/>
                </a:solidFill>
                <a:latin typeface="Times New Roman"/>
                <a:ea typeface="Times New Roman"/>
                <a:cs typeface="Times New Roman"/>
              </a:defRPr>
            </a:pPr>
            <a:r>
              <a:rPr lang="es-ES"/>
              <a:t>TOTAL OBLIGACIONES</a:t>
            </a:r>
          </a:p>
        </c:rich>
      </c:tx>
      <c:layout>
        <c:manualLayout>
          <c:xMode val="edge"/>
          <c:yMode val="edge"/>
          <c:x val="0.36410260311664927"/>
          <c:y val="3.1331592689295987E-2"/>
        </c:manualLayout>
      </c:layout>
      <c:overlay val="0"/>
      <c:spPr>
        <a:noFill/>
        <a:ln w="25400">
          <a:noFill/>
        </a:ln>
      </c:spPr>
    </c:title>
    <c:autoTitleDeleted val="0"/>
    <c:plotArea>
      <c:layout>
        <c:manualLayout>
          <c:layoutTarget val="inner"/>
          <c:xMode val="edge"/>
          <c:yMode val="edge"/>
          <c:x val="9.2307807877363549E-2"/>
          <c:y val="0.17754569190600544"/>
          <c:w val="0.67176275580968003"/>
          <c:h val="0.69973890339425604"/>
        </c:manualLayout>
      </c:layout>
      <c:barChart>
        <c:barDir val="col"/>
        <c:grouping val="clustered"/>
        <c:varyColors val="0"/>
        <c:ser>
          <c:idx val="0"/>
          <c:order val="0"/>
          <c:tx>
            <c:strRef>
              <c:f>'TRANSFERENCIES A ENS CAIB'!$A$12</c:f>
              <c:strCache>
                <c:ptCount val="1"/>
                <c:pt idx="0">
                  <c:v>TOTAL OBLIGACIONS</c:v>
                </c:pt>
              </c:strCache>
            </c:strRef>
          </c:tx>
          <c:spPr>
            <a:gradFill>
              <a:gsLst>
                <a:gs pos="0">
                  <a:srgbClr val="00FFFF">
                    <a:gamma/>
                    <a:shade val="46275"/>
                    <a:invGamma/>
                  </a:srgbClr>
                </a:gs>
                <a:gs pos="50000">
                  <a:srgbClr val="00FFFF"/>
                </a:gs>
                <a:gs pos="100000">
                  <a:srgbClr val="00FFFF">
                    <a:gamma/>
                    <a:shade val="46275"/>
                    <a:invGamma/>
                  </a:srgbClr>
                </a:gs>
              </a:gsLst>
              <a:lin ang="0" scaled="1"/>
            </a:gradFill>
            <a:ln w="6350">
              <a:noFill/>
              <a:prstDash val="solid"/>
            </a:ln>
            <a:scene3d>
              <a:camera prst="orthographicFront"/>
              <a:lightRig rig="threePt" dir="t"/>
            </a:scene3d>
            <a:sp3d prstMaterial="dkEdge">
              <a:bevelT w="0" h="69850"/>
            </a:sp3d>
          </c:spPr>
          <c:invertIfNegative val="0"/>
          <c:cat>
            <c:numRef>
              <c:f>'TRANSFERENCIES A ENS CAIB'!$N$7:$W$7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'TRANSFERENCIES A ENS CAIB'!$N$12:$W$12</c:f>
              <c:numCache>
                <c:formatCode>#,##0.00</c:formatCode>
                <c:ptCount val="10"/>
                <c:pt idx="0">
                  <c:v>359.77000000000004</c:v>
                </c:pt>
                <c:pt idx="1">
                  <c:v>370.28999999999996</c:v>
                </c:pt>
                <c:pt idx="2">
                  <c:v>362.3</c:v>
                </c:pt>
                <c:pt idx="3">
                  <c:v>418.52</c:v>
                </c:pt>
                <c:pt idx="4">
                  <c:v>450.72</c:v>
                </c:pt>
                <c:pt idx="5">
                  <c:v>607.17000000000007</c:v>
                </c:pt>
                <c:pt idx="6">
                  <c:v>527.95000000000005</c:v>
                </c:pt>
                <c:pt idx="7">
                  <c:v>554.56999999999994</c:v>
                </c:pt>
                <c:pt idx="8">
                  <c:v>537.34</c:v>
                </c:pt>
                <c:pt idx="9">
                  <c:v>583.16</c:v>
                </c:pt>
              </c:numCache>
            </c:numRef>
          </c:val>
          <c:extLst>
            <c:ext xmlns:c16="http://schemas.microsoft.com/office/drawing/2014/chart" uri="{C3380CC4-5D6E-409C-BE32-E72D297353CC}">
              <c16:uniqueId val="{00000000-73DF-470D-BCDC-AC0EB1B06D19}"/>
            </c:ext>
          </c:extLst>
        </c:ser>
        <c:dLbls>
          <c:showLegendKey val="0"/>
          <c:showVal val="0"/>
          <c:showCatName val="0"/>
          <c:showSerName val="0"/>
          <c:showPercent val="0"/>
          <c:showBubbleSize val="0"/>
        </c:dLbls>
        <c:gapWidth val="60"/>
        <c:axId val="139079680"/>
        <c:axId val="139081216"/>
      </c:barChart>
      <c:catAx>
        <c:axId val="1390796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9081216"/>
        <c:crosses val="autoZero"/>
        <c:auto val="1"/>
        <c:lblAlgn val="ctr"/>
        <c:lblOffset val="100"/>
        <c:tickLblSkip val="1"/>
        <c:tickMarkSkip val="1"/>
        <c:noMultiLvlLbl val="0"/>
      </c:catAx>
      <c:valAx>
        <c:axId val="139081216"/>
        <c:scaling>
          <c:orientation val="minMax"/>
          <c:max val="640"/>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9079680"/>
        <c:crosses val="autoZero"/>
        <c:crossBetween val="between"/>
        <c:majorUnit val="40"/>
      </c:valAx>
      <c:spPr>
        <a:solidFill>
          <a:schemeClr val="bg2"/>
        </a:solidFill>
        <a:ln w="12700">
          <a:solidFill>
            <a:srgbClr val="808080"/>
          </a:solidFill>
          <a:prstDash val="solid"/>
        </a:ln>
      </c:spPr>
    </c:plotArea>
    <c:legend>
      <c:legendPos val="r"/>
      <c:legendEntry>
        <c:idx val="0"/>
        <c:txPr>
          <a:bodyPr/>
          <a:lstStyle/>
          <a:p>
            <a:pPr>
              <a:defRPr lang="es-ES" sz="900" b="0" i="0" u="none" strike="noStrike" baseline="0">
                <a:solidFill>
                  <a:srgbClr val="000000"/>
                </a:solidFill>
                <a:latin typeface="Arial"/>
                <a:ea typeface="Arial"/>
                <a:cs typeface="Arial"/>
              </a:defRPr>
            </a:pPr>
            <a:endParaRPr lang="ca-ES"/>
          </a:p>
        </c:txPr>
      </c:legendEntry>
      <c:layout>
        <c:manualLayout>
          <c:xMode val="edge"/>
          <c:yMode val="edge"/>
          <c:x val="0.78536603880397249"/>
          <c:y val="0.52567449956484003"/>
          <c:w val="0.15890968074654802"/>
          <c:h val="5.1995213213256383E-2"/>
        </c:manualLayout>
      </c:layout>
      <c:overlay val="0"/>
      <c:spPr>
        <a:solidFill>
          <a:srgbClr val="FFFFFF"/>
        </a:solidFill>
        <a:ln w="3175">
          <a:solidFill>
            <a:srgbClr val="000000"/>
          </a:solidFill>
          <a:prstDash val="solid"/>
        </a:ln>
      </c:spPr>
      <c:txPr>
        <a:bodyPr/>
        <a:lstStyle/>
        <a:p>
          <a:pPr>
            <a:defRPr lang="es-ES" sz="1100" b="0" i="0" u="none" strike="noStrike" baseline="0">
              <a:solidFill>
                <a:srgbClr val="000000"/>
              </a:solidFill>
              <a:latin typeface="Arial"/>
              <a:ea typeface="Arial"/>
              <a:cs typeface="Arial"/>
            </a:defRPr>
          </a:pPr>
          <a:endParaRPr lang="ca-ES"/>
        </a:p>
      </c:txPr>
    </c:legend>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2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b="1" i="0" u="none" strike="noStrike" baseline="0">
                <a:solidFill>
                  <a:srgbClr val="000000"/>
                </a:solidFill>
                <a:latin typeface="Arial"/>
                <a:ea typeface="Arial"/>
                <a:cs typeface="Arial"/>
              </a:defRPr>
            </a:pPr>
            <a:r>
              <a:rPr lang="es-ES" sz="1100"/>
              <a:t>AÑO 2011</a:t>
            </a:r>
          </a:p>
        </c:rich>
      </c:tx>
      <c:layout>
        <c:manualLayout>
          <c:xMode val="edge"/>
          <c:yMode val="edge"/>
          <c:x val="0.41111131696773201"/>
          <c:y val="4.1841067738873076E-2"/>
        </c:manualLayout>
      </c:layout>
      <c:overlay val="0"/>
      <c:spPr>
        <a:noFill/>
        <a:ln w="25400">
          <a:noFill/>
        </a:ln>
      </c:spPr>
    </c:title>
    <c:autoTitleDeleted val="0"/>
    <c:view3D>
      <c:rotX val="75"/>
      <c:rotY val="0"/>
      <c:rAngAx val="0"/>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1.1300262108384779E-2"/>
          <c:y val="0.1948287346434637"/>
          <c:w val="0.5579106997590213"/>
          <c:h val="0.79670041244844536"/>
        </c:manualLayout>
      </c:layout>
      <c:pie3DChart>
        <c:varyColors val="1"/>
        <c:ser>
          <c:idx val="0"/>
          <c:order val="0"/>
          <c:tx>
            <c:strRef>
              <c:f>'EVOLUCIO DESPESES INVERSIO CAIB'!$N$7</c:f>
              <c:strCache>
                <c:ptCount val="1"/>
                <c:pt idx="0">
                  <c:v>2012</c:v>
                </c:pt>
              </c:strCache>
            </c:strRef>
          </c:tx>
          <c:spPr>
            <a:solidFill>
              <a:srgbClr val="FFFF00"/>
            </a:solidFill>
            <a:ln w="12700">
              <a:solidFill>
                <a:srgbClr val="000000"/>
              </a:solidFill>
              <a:prstDash val="solid"/>
            </a:ln>
          </c:spPr>
          <c:dPt>
            <c:idx val="0"/>
            <c:bubble3D val="0"/>
            <c:spPr>
              <a:solidFill>
                <a:srgbClr val="3366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0-913A-486C-8680-4C43048766FC}"/>
              </c:ext>
            </c:extLst>
          </c:dPt>
          <c:dPt>
            <c:idx val="1"/>
            <c:bubble3D val="0"/>
            <c:spPr>
              <a:solidFill>
                <a:srgbClr val="00FF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1-D1F5-4FF0-9981-482A4BCFC70D}"/>
              </c:ext>
            </c:extLst>
          </c:dPt>
          <c:dLbls>
            <c:dLbl>
              <c:idx val="0"/>
              <c:layout>
                <c:manualLayout>
                  <c:x val="-0.15855320716489407"/>
                  <c:y val="0.1390732040847835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13A-486C-8680-4C43048766FC}"/>
                </c:ext>
              </c:extLst>
            </c:dLbl>
            <c:dLbl>
              <c:idx val="1"/>
              <c:layout>
                <c:manualLayout>
                  <c:x val="0.12423001949317747"/>
                  <c:y val="-0.2130558680164981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1F5-4FF0-9981-482A4BCFC70D}"/>
                </c:ext>
              </c:extLst>
            </c:dLbl>
            <c:numFmt formatCode="0%" sourceLinked="0"/>
            <c:spPr>
              <a:noFill/>
              <a:ln w="25400">
                <a:noFill/>
              </a:ln>
            </c:spPr>
            <c:txPr>
              <a:bodyPr/>
              <a:lstStyle/>
              <a:p>
                <a:pPr algn="ctr" rtl="1">
                  <a:defRPr sz="1100" b="0" i="0" u="none" strike="noStrike" baseline="0">
                    <a:solidFill>
                      <a:srgbClr val="000000"/>
                    </a:solidFill>
                    <a:latin typeface="Arial"/>
                    <a:ea typeface="Arial"/>
                    <a:cs typeface="Arial"/>
                  </a:defRPr>
                </a:pPr>
                <a:endParaRPr lang="ca-ES"/>
              </a:p>
            </c:txPr>
            <c:showLegendKey val="0"/>
            <c:showVal val="0"/>
            <c:showCatName val="0"/>
            <c:showSerName val="0"/>
            <c:showPercent val="1"/>
            <c:showBubbleSize val="0"/>
            <c:showLeaderLines val="0"/>
            <c:extLst>
              <c:ext xmlns:c15="http://schemas.microsoft.com/office/drawing/2012/chart" uri="{CE6537A1-D6FC-4f65-9D91-7224C49458BB}"/>
            </c:extLst>
          </c:dLbls>
          <c:cat>
            <c:strRef>
              <c:f>'EVOLUCIO DESPESES INVERSIO CAIB'!$A$10:$A$11</c:f>
              <c:strCache>
                <c:ptCount val="2"/>
                <c:pt idx="0">
                  <c:v>OBLIGACIONS CAPÍTOL 6</c:v>
                </c:pt>
                <c:pt idx="1">
                  <c:v>OBLIGACIONS CAPÍTOL 7</c:v>
                </c:pt>
              </c:strCache>
            </c:strRef>
          </c:cat>
          <c:val>
            <c:numRef>
              <c:f>'EVOLUCIO DESPESES INVERSIO CAIB'!$N$10:$N$11</c:f>
              <c:numCache>
                <c:formatCode>#,##0.00</c:formatCode>
                <c:ptCount val="2"/>
                <c:pt idx="0">
                  <c:v>103.01</c:v>
                </c:pt>
                <c:pt idx="1">
                  <c:v>287.83398783999996</c:v>
                </c:pt>
              </c:numCache>
            </c:numRef>
          </c:val>
          <c:extLst>
            <c:ext xmlns:c16="http://schemas.microsoft.com/office/drawing/2014/chart" uri="{C3380CC4-5D6E-409C-BE32-E72D297353CC}">
              <c16:uniqueId val="{00000001-913A-486C-8680-4C43048766FC}"/>
            </c:ext>
          </c:extLst>
        </c:ser>
        <c:dLbls>
          <c:showLegendKey val="0"/>
          <c:showVal val="0"/>
          <c:showCatName val="0"/>
          <c:showSerName val="0"/>
          <c:showPercent val="1"/>
          <c:showBubbleSize val="0"/>
          <c:showLeaderLines val="0"/>
        </c:dLbls>
      </c:pie3DChart>
    </c:plotArea>
    <c:legend>
      <c:legendPos val="r"/>
      <c:legendEntry>
        <c:idx val="0"/>
        <c:txPr>
          <a:bodyPr/>
          <a:lstStyle/>
          <a:p>
            <a:pPr rtl="0">
              <a:defRPr lang="es-ES" sz="800" b="0" i="0" u="none" strike="noStrike" baseline="0">
                <a:solidFill>
                  <a:srgbClr val="000000"/>
                </a:solidFill>
                <a:latin typeface="Arial"/>
                <a:ea typeface="Arial"/>
                <a:cs typeface="Arial"/>
              </a:defRPr>
            </a:pPr>
            <a:endParaRPr lang="ca-ES"/>
          </a:p>
        </c:txPr>
      </c:legendEntry>
      <c:legendEntry>
        <c:idx val="1"/>
        <c:txPr>
          <a:bodyPr/>
          <a:lstStyle/>
          <a:p>
            <a:pPr rtl="0">
              <a:defRPr lang="es-ES" sz="800" b="0" i="0" u="none" strike="noStrike" baseline="0">
                <a:solidFill>
                  <a:srgbClr val="000000"/>
                </a:solidFill>
                <a:latin typeface="Arial"/>
                <a:ea typeface="Arial"/>
                <a:cs typeface="Arial"/>
              </a:defRPr>
            </a:pPr>
            <a:endParaRPr lang="ca-ES"/>
          </a:p>
        </c:txPr>
      </c:legendEntry>
      <c:layout>
        <c:manualLayout>
          <c:xMode val="edge"/>
          <c:yMode val="edge"/>
          <c:x val="0.61146301688365512"/>
          <c:y val="0.37656916289719167"/>
          <c:w val="0.36739328636552032"/>
          <c:h val="0.25265829005416884"/>
        </c:manualLayout>
      </c:layout>
      <c:overlay val="0"/>
      <c:spPr>
        <a:solidFill>
          <a:srgbClr val="FFFFFF"/>
        </a:solidFill>
        <a:ln w="3175">
          <a:solidFill>
            <a:srgbClr val="000000"/>
          </a:solidFill>
          <a:prstDash val="solid"/>
        </a:ln>
      </c:spPr>
      <c:txPr>
        <a:bodyPr/>
        <a:lstStyle/>
        <a:p>
          <a:pPr rtl="0">
            <a:defRPr lang="es-ES" sz="735" b="0" i="0" u="none" strike="noStrike" baseline="0">
              <a:solidFill>
                <a:srgbClr val="000000"/>
              </a:solidFill>
              <a:latin typeface="Arial"/>
              <a:ea typeface="Arial"/>
              <a:cs typeface="Arial"/>
            </a:defRPr>
          </a:pPr>
          <a:endParaRPr lang="ca-ES"/>
        </a:p>
      </c:txPr>
    </c:legend>
    <c:plotVisOnly val="1"/>
    <c:dispBlanksAs val="zero"/>
    <c:showDLblsOverMax val="0"/>
  </c:chart>
  <c:spPr>
    <a:gradFill>
      <a:gsLst>
        <a:gs pos="0">
          <a:srgbClr val="CCFFFF"/>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001282109851"/>
          <c:y val="9.4801506359621243E-2"/>
          <c:w val="0.70475388984253418"/>
          <c:h val="0.8077883597883595"/>
        </c:manualLayout>
      </c:layout>
      <c:barChart>
        <c:barDir val="col"/>
        <c:grouping val="clustered"/>
        <c:varyColors val="0"/>
        <c:ser>
          <c:idx val="0"/>
          <c:order val="0"/>
          <c:tx>
            <c:strRef>
              <c:f>'DRETS R. CORRENT-CAPITAL CAIB'!$A$9</c:f>
              <c:strCache>
                <c:ptCount val="1"/>
                <c:pt idx="0">
                  <c:v>I.CORRENTS</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'DRETS R. CORRENT-CAPITAL CAIB'!$M$7:$W$7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'DRETS R. CORRENT-CAPITAL CAIB'!$M$9:$W$9</c:f>
              <c:numCache>
                <c:formatCode>#,##0.00</c:formatCode>
                <c:ptCount val="10"/>
                <c:pt idx="0">
                  <c:v>3906.2508572299998</c:v>
                </c:pt>
                <c:pt idx="1">
                  <c:v>2681.2400000000002</c:v>
                </c:pt>
                <c:pt idx="2">
                  <c:v>2679.0499999999997</c:v>
                </c:pt>
                <c:pt idx="3">
                  <c:v>2958.29</c:v>
                </c:pt>
                <c:pt idx="4">
                  <c:v>3243.13</c:v>
                </c:pt>
                <c:pt idx="5">
                  <c:v>3594.75</c:v>
                </c:pt>
                <c:pt idx="6">
                  <c:v>3892.0699999999997</c:v>
                </c:pt>
                <c:pt idx="7">
                  <c:v>3934.2300000000009</c:v>
                </c:pt>
                <c:pt idx="8">
                  <c:v>4470.12</c:v>
                </c:pt>
                <c:pt idx="9">
                  <c:v>5679.49</c:v>
                </c:pt>
              </c:numCache>
            </c:numRef>
          </c:val>
          <c:extLst>
            <c:ext xmlns:c16="http://schemas.microsoft.com/office/drawing/2014/chart" uri="{C3380CC4-5D6E-409C-BE32-E72D297353CC}">
              <c16:uniqueId val="{00000000-0D31-42CC-ADBE-59D357BBB01B}"/>
            </c:ext>
          </c:extLst>
        </c:ser>
        <c:ser>
          <c:idx val="1"/>
          <c:order val="1"/>
          <c:tx>
            <c:strRef>
              <c:f>'DRETS R. CORRENT-CAPITAL CAIB'!$A$10</c:f>
              <c:strCache>
                <c:ptCount val="1"/>
                <c:pt idx="0">
                  <c:v>I.CAPITAL</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'DRETS R. CORRENT-CAPITAL CAIB'!$M$7:$W$7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'DRETS R. CORRENT-CAPITAL CAIB'!$M$10:$W$10</c:f>
              <c:numCache>
                <c:formatCode>#,##0.00</c:formatCode>
                <c:ptCount val="10"/>
                <c:pt idx="0">
                  <c:v>43.848139369999991</c:v>
                </c:pt>
                <c:pt idx="1">
                  <c:v>38.81</c:v>
                </c:pt>
                <c:pt idx="2">
                  <c:v>100.94</c:v>
                </c:pt>
                <c:pt idx="3">
                  <c:v>18.209999999999997</c:v>
                </c:pt>
                <c:pt idx="4">
                  <c:v>14.03</c:v>
                </c:pt>
                <c:pt idx="5">
                  <c:v>21.08</c:v>
                </c:pt>
                <c:pt idx="6">
                  <c:v>-2.52</c:v>
                </c:pt>
                <c:pt idx="7">
                  <c:v>64.27</c:v>
                </c:pt>
                <c:pt idx="8">
                  <c:v>53.61</c:v>
                </c:pt>
                <c:pt idx="9">
                  <c:v>225.95999999999998</c:v>
                </c:pt>
              </c:numCache>
            </c:numRef>
          </c:val>
          <c:extLst>
            <c:ext xmlns:c16="http://schemas.microsoft.com/office/drawing/2014/chart" uri="{C3380CC4-5D6E-409C-BE32-E72D297353CC}">
              <c16:uniqueId val="{00000001-0D31-42CC-ADBE-59D357BBB01B}"/>
            </c:ext>
          </c:extLst>
        </c:ser>
        <c:ser>
          <c:idx val="2"/>
          <c:order val="2"/>
          <c:tx>
            <c:strRef>
              <c:f>'DRETS R. CORRENT-CAPITAL CAIB'!$A$11</c:f>
              <c:strCache>
                <c:ptCount val="1"/>
                <c:pt idx="0">
                  <c:v>I.FINANCERS</c:v>
                </c:pt>
              </c:strCache>
            </c:strRef>
          </c:tx>
          <c:spPr>
            <a:gradFill rotWithShape="0">
              <a:gsLst>
                <a:gs pos="0">
                  <a:srgbClr val="FFCC00">
                    <a:gamma/>
                    <a:shade val="46275"/>
                    <a:invGamma/>
                  </a:srgbClr>
                </a:gs>
                <a:gs pos="50000">
                  <a:srgbClr val="FFCC00"/>
                </a:gs>
                <a:gs pos="100000">
                  <a:srgbClr val="FFCC00">
                    <a:gamma/>
                    <a:shade val="46275"/>
                    <a:invGamma/>
                  </a:srgbClr>
                </a:gs>
              </a:gsLst>
              <a:lin ang="0" scaled="1"/>
            </a:gradFill>
            <a:ln w="12700">
              <a:solidFill>
                <a:srgbClr val="000000"/>
              </a:solidFill>
              <a:prstDash val="solid"/>
            </a:ln>
          </c:spPr>
          <c:invertIfNegative val="0"/>
          <c:cat>
            <c:numRef>
              <c:f>'DRETS R. CORRENT-CAPITAL CAIB'!$M$7:$W$7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'DRETS R. CORRENT-CAPITAL CAIB'!$M$11:$W$11</c:f>
              <c:numCache>
                <c:formatCode>#,##0.00</c:formatCode>
                <c:ptCount val="10"/>
                <c:pt idx="0">
                  <c:v>1668.7841842400001</c:v>
                </c:pt>
                <c:pt idx="1">
                  <c:v>1268.17</c:v>
                </c:pt>
                <c:pt idx="2">
                  <c:v>1610.45</c:v>
                </c:pt>
                <c:pt idx="3">
                  <c:v>1175.99</c:v>
                </c:pt>
                <c:pt idx="4">
                  <c:v>1282.25</c:v>
                </c:pt>
                <c:pt idx="5">
                  <c:v>1346.73</c:v>
                </c:pt>
                <c:pt idx="6">
                  <c:v>927.07</c:v>
                </c:pt>
                <c:pt idx="7">
                  <c:v>1220.71</c:v>
                </c:pt>
                <c:pt idx="8">
                  <c:v>1785.79</c:v>
                </c:pt>
                <c:pt idx="9">
                  <c:v>1163.6000000000001</c:v>
                </c:pt>
              </c:numCache>
            </c:numRef>
          </c:val>
          <c:extLst>
            <c:ext xmlns:c16="http://schemas.microsoft.com/office/drawing/2014/chart" uri="{C3380CC4-5D6E-409C-BE32-E72D297353CC}">
              <c16:uniqueId val="{00000002-0D31-42CC-ADBE-59D357BBB01B}"/>
            </c:ext>
          </c:extLst>
        </c:ser>
        <c:dLbls>
          <c:showLegendKey val="0"/>
          <c:showVal val="0"/>
          <c:showCatName val="0"/>
          <c:showSerName val="0"/>
          <c:showPercent val="0"/>
          <c:showBubbleSize val="0"/>
        </c:dLbls>
        <c:gapWidth val="18"/>
        <c:axId val="108109184"/>
        <c:axId val="108209280"/>
      </c:barChart>
      <c:catAx>
        <c:axId val="1081091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nchor="t" anchorCtr="0"/>
          <a:lstStyle/>
          <a:p>
            <a:pPr>
              <a:defRPr sz="1100" b="1" i="0" u="none" strike="noStrike" baseline="0">
                <a:solidFill>
                  <a:srgbClr val="000000"/>
                </a:solidFill>
                <a:latin typeface="Arial"/>
                <a:ea typeface="Arial"/>
                <a:cs typeface="Arial"/>
              </a:defRPr>
            </a:pPr>
            <a:endParaRPr lang="ca-ES"/>
          </a:p>
        </c:txPr>
        <c:crossAx val="108209280"/>
        <c:crosses val="autoZero"/>
        <c:auto val="0"/>
        <c:lblAlgn val="ctr"/>
        <c:lblOffset val="200"/>
        <c:tickLblSkip val="1"/>
        <c:tickMarkSkip val="1"/>
        <c:noMultiLvlLbl val="0"/>
      </c:catAx>
      <c:valAx>
        <c:axId val="108209280"/>
        <c:scaling>
          <c:orientation val="minMax"/>
          <c:max val="4600"/>
          <c:min val="-200"/>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ca-ES"/>
          </a:p>
        </c:txPr>
        <c:crossAx val="108109184"/>
        <c:crosses val="autoZero"/>
        <c:crossBetween val="between"/>
        <c:majorUnit val="200"/>
        <c:minorUnit val="100"/>
      </c:valAx>
      <c:spPr>
        <a:solidFill>
          <a:schemeClr val="bg2"/>
        </a:solidFill>
        <a:ln w="12700">
          <a:solidFill>
            <a:schemeClr val="tx1"/>
          </a:solidFill>
          <a:prstDash val="solid"/>
        </a:ln>
      </c:spPr>
    </c:plotArea>
    <c:legend>
      <c:legendPos val="r"/>
      <c:layout>
        <c:manualLayout>
          <c:xMode val="edge"/>
          <c:yMode val="edge"/>
          <c:x val="0.83712156666761384"/>
          <c:y val="0.44079471409357379"/>
          <c:w val="0.15449818148085701"/>
          <c:h val="0.21406791132241038"/>
        </c:manualLayout>
      </c:layout>
      <c:overlay val="0"/>
      <c:spPr>
        <a:solidFill>
          <a:srgbClr val="FFFFFF"/>
        </a:solidFill>
        <a:ln w="3175">
          <a:solidFill>
            <a:srgbClr val="000000"/>
          </a:solidFill>
          <a:prstDash val="solid"/>
        </a:ln>
      </c:spPr>
      <c:txPr>
        <a:bodyPr/>
        <a:lstStyle/>
        <a:p>
          <a:pPr>
            <a:defRPr lang="es-ES" sz="1055"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solidFill>
      <a:srgbClr val="4BACC6">
        <a:lumMod val="20000"/>
        <a:lumOff val="80000"/>
      </a:srgbClr>
    </a:solidFill>
    <a:ln w="3175">
      <a:noFill/>
      <a:prstDash val="solid"/>
    </a:ln>
  </c:spPr>
  <c:txPr>
    <a:bodyPr/>
    <a:lstStyle/>
    <a:p>
      <a:pPr>
        <a:defRPr sz="162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b="1" i="0" u="none" strike="noStrike" baseline="0">
                <a:solidFill>
                  <a:srgbClr val="000000"/>
                </a:solidFill>
                <a:latin typeface="Arial"/>
                <a:ea typeface="Arial"/>
                <a:cs typeface="Arial"/>
              </a:defRPr>
            </a:pPr>
            <a:r>
              <a:rPr lang="es-ES" sz="1100"/>
              <a:t>AÑO 2015</a:t>
            </a:r>
          </a:p>
        </c:rich>
      </c:tx>
      <c:layout>
        <c:manualLayout>
          <c:xMode val="edge"/>
          <c:yMode val="edge"/>
          <c:x val="0.41111131696773201"/>
          <c:y val="4.1841067738873076E-2"/>
        </c:manualLayout>
      </c:layout>
      <c:overlay val="0"/>
      <c:spPr>
        <a:noFill/>
        <a:ln w="25400">
          <a:noFill/>
        </a:ln>
      </c:spPr>
    </c:title>
    <c:autoTitleDeleted val="0"/>
    <c:view3D>
      <c:rotX val="75"/>
      <c:rotY val="0"/>
      <c:rAngAx val="0"/>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1.1300262108384779E-2"/>
          <c:y val="0.20603321643618094"/>
          <c:w val="0.55120744013650791"/>
          <c:h val="0.78549593065572754"/>
        </c:manualLayout>
      </c:layout>
      <c:pie3DChart>
        <c:varyColors val="1"/>
        <c:ser>
          <c:idx val="0"/>
          <c:order val="0"/>
          <c:tx>
            <c:strRef>
              <c:f>'EVOLUCIO DESPESES INVERSIO CAIB'!$R$7</c:f>
              <c:strCache>
                <c:ptCount val="1"/>
                <c:pt idx="0">
                  <c:v>2016</c:v>
                </c:pt>
              </c:strCache>
            </c:strRef>
          </c:tx>
          <c:spPr>
            <a:solidFill>
              <a:srgbClr val="FFFF00"/>
            </a:solidFill>
            <a:ln w="12700">
              <a:solidFill>
                <a:srgbClr val="000000"/>
              </a:solidFill>
              <a:prstDash val="solid"/>
            </a:ln>
          </c:spPr>
          <c:dPt>
            <c:idx val="0"/>
            <c:bubble3D val="0"/>
            <c:spPr>
              <a:solidFill>
                <a:srgbClr val="3366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0-913A-486C-8680-4C43048766FC}"/>
              </c:ext>
            </c:extLst>
          </c:dPt>
          <c:dPt>
            <c:idx val="1"/>
            <c:bubble3D val="0"/>
            <c:spPr>
              <a:solidFill>
                <a:srgbClr val="00FF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1-7ED2-4D28-828E-A0523333AEF5}"/>
              </c:ext>
            </c:extLst>
          </c:dPt>
          <c:dLbls>
            <c:dLbl>
              <c:idx val="0"/>
              <c:layout>
                <c:manualLayout>
                  <c:x val="-0.13993646317671968"/>
                  <c:y val="0.1489807891660604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13A-486C-8680-4C43048766FC}"/>
                </c:ext>
              </c:extLst>
            </c:dLbl>
            <c:dLbl>
              <c:idx val="1"/>
              <c:layout>
                <c:manualLayout>
                  <c:x val="0.15175704177094143"/>
                  <c:y val="-0.2394384525463733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ED2-4D28-828E-A0523333AEF5}"/>
                </c:ext>
              </c:extLst>
            </c:dLbl>
            <c:numFmt formatCode="0%" sourceLinked="0"/>
            <c:spPr>
              <a:noFill/>
              <a:ln w="25400">
                <a:noFill/>
              </a:ln>
            </c:spPr>
            <c:txPr>
              <a:bodyPr/>
              <a:lstStyle/>
              <a:p>
                <a:pPr algn="ctr" rtl="1">
                  <a:defRPr sz="1100" b="0" i="0" u="none" strike="noStrike" baseline="0">
                    <a:solidFill>
                      <a:srgbClr val="000000"/>
                    </a:solidFill>
                    <a:latin typeface="Arial"/>
                    <a:ea typeface="Arial"/>
                    <a:cs typeface="Arial"/>
                  </a:defRPr>
                </a:pPr>
                <a:endParaRPr lang="ca-ES"/>
              </a:p>
            </c:txPr>
            <c:showLegendKey val="0"/>
            <c:showVal val="0"/>
            <c:showCatName val="0"/>
            <c:showSerName val="0"/>
            <c:showPercent val="1"/>
            <c:showBubbleSize val="0"/>
            <c:showLeaderLines val="0"/>
            <c:extLst>
              <c:ext xmlns:c15="http://schemas.microsoft.com/office/drawing/2012/chart" uri="{CE6537A1-D6FC-4f65-9D91-7224C49458BB}"/>
            </c:extLst>
          </c:dLbls>
          <c:cat>
            <c:strRef>
              <c:f>'EVOLUCIO DESPESES INVERSIO CAIB'!$A$10:$A$11</c:f>
              <c:strCache>
                <c:ptCount val="2"/>
                <c:pt idx="0">
                  <c:v>OBLIGACIONS CAPÍTOL 6</c:v>
                </c:pt>
                <c:pt idx="1">
                  <c:v>OBLIGACIONS CAPÍTOL 7</c:v>
                </c:pt>
              </c:strCache>
            </c:strRef>
          </c:cat>
          <c:val>
            <c:numRef>
              <c:f>'EVOLUCIO DESPESES INVERSIO CAIB'!$R$10:$R$11</c:f>
              <c:numCache>
                <c:formatCode>#,##0.00</c:formatCode>
                <c:ptCount val="2"/>
                <c:pt idx="0">
                  <c:v>122.05</c:v>
                </c:pt>
                <c:pt idx="1">
                  <c:v>328.35</c:v>
                </c:pt>
              </c:numCache>
            </c:numRef>
          </c:val>
          <c:extLst>
            <c:ext xmlns:c16="http://schemas.microsoft.com/office/drawing/2014/chart" uri="{C3380CC4-5D6E-409C-BE32-E72D297353CC}">
              <c16:uniqueId val="{00000001-913A-486C-8680-4C43048766FC}"/>
            </c:ext>
          </c:extLst>
        </c:ser>
        <c:dLbls>
          <c:showLegendKey val="0"/>
          <c:showVal val="0"/>
          <c:showCatName val="0"/>
          <c:showSerName val="0"/>
          <c:showPercent val="1"/>
          <c:showBubbleSize val="0"/>
          <c:showLeaderLines val="0"/>
        </c:dLbls>
      </c:pie3DChart>
      <c:spPr>
        <a:scene3d>
          <a:camera prst="orthographicFront"/>
          <a:lightRig rig="threePt" dir="t"/>
        </a:scene3d>
        <a:sp3d>
          <a:bevelT w="6350"/>
        </a:sp3d>
      </c:spPr>
    </c:plotArea>
    <c:legend>
      <c:legendPos val="r"/>
      <c:legendEntry>
        <c:idx val="0"/>
        <c:txPr>
          <a:bodyPr/>
          <a:lstStyle/>
          <a:p>
            <a:pPr rtl="0">
              <a:defRPr lang="es-ES" sz="800" b="0" i="0" u="none" strike="noStrike" baseline="0">
                <a:solidFill>
                  <a:srgbClr val="000000"/>
                </a:solidFill>
                <a:latin typeface="Arial"/>
                <a:ea typeface="Arial"/>
                <a:cs typeface="Arial"/>
              </a:defRPr>
            </a:pPr>
            <a:endParaRPr lang="ca-ES"/>
          </a:p>
        </c:txPr>
      </c:legendEntry>
      <c:legendEntry>
        <c:idx val="1"/>
        <c:txPr>
          <a:bodyPr/>
          <a:lstStyle/>
          <a:p>
            <a:pPr rtl="0">
              <a:defRPr lang="es-ES" sz="800" b="0" i="0" u="none" strike="noStrike" baseline="0">
                <a:solidFill>
                  <a:srgbClr val="000000"/>
                </a:solidFill>
                <a:latin typeface="Arial"/>
                <a:ea typeface="Arial"/>
                <a:cs typeface="Arial"/>
              </a:defRPr>
            </a:pPr>
            <a:endParaRPr lang="ca-ES"/>
          </a:p>
        </c:txPr>
      </c:legendEntry>
      <c:layout>
        <c:manualLayout>
          <c:xMode val="edge"/>
          <c:yMode val="edge"/>
          <c:x val="0.61146301688365512"/>
          <c:y val="0.37656916289719178"/>
          <c:w val="0.35806453762676288"/>
          <c:h val="0.28627186307593938"/>
        </c:manualLayout>
      </c:layout>
      <c:overlay val="0"/>
      <c:spPr>
        <a:solidFill>
          <a:srgbClr val="FFFFFF"/>
        </a:solidFill>
        <a:ln w="3175">
          <a:solidFill>
            <a:srgbClr val="000000"/>
          </a:solidFill>
          <a:prstDash val="solid"/>
        </a:ln>
      </c:spPr>
      <c:txPr>
        <a:bodyPr/>
        <a:lstStyle/>
        <a:p>
          <a:pPr rtl="0">
            <a:defRPr lang="es-ES" sz="735" b="0" i="0" u="none" strike="noStrike" baseline="0">
              <a:solidFill>
                <a:srgbClr val="000000"/>
              </a:solidFill>
              <a:latin typeface="Arial"/>
              <a:ea typeface="Arial"/>
              <a:cs typeface="Arial"/>
            </a:defRPr>
          </a:pPr>
          <a:endParaRPr lang="ca-ES"/>
        </a:p>
      </c:txPr>
    </c:legend>
    <c:plotVisOnly val="1"/>
    <c:dispBlanksAs val="zero"/>
    <c:showDLblsOverMax val="0"/>
  </c:chart>
  <c:spPr>
    <a:gradFill>
      <a:gsLst>
        <a:gs pos="0">
          <a:srgbClr val="CCFFFF"/>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orientation="portrait"/>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b="1" i="0" u="none" strike="noStrike" baseline="0">
                <a:solidFill>
                  <a:srgbClr val="000000"/>
                </a:solidFill>
                <a:latin typeface="Arial"/>
                <a:ea typeface="Arial"/>
                <a:cs typeface="Arial"/>
              </a:defRPr>
            </a:pPr>
            <a:r>
              <a:rPr lang="es-ES" sz="1100"/>
              <a:t>AÑO 2020</a:t>
            </a:r>
          </a:p>
        </c:rich>
      </c:tx>
      <c:layout>
        <c:manualLayout>
          <c:xMode val="edge"/>
          <c:yMode val="edge"/>
          <c:x val="0.41111131696773201"/>
          <c:y val="4.1841067738873076E-2"/>
        </c:manualLayout>
      </c:layout>
      <c:overlay val="0"/>
      <c:spPr>
        <a:noFill/>
        <a:ln w="25400">
          <a:noFill/>
        </a:ln>
      </c:spPr>
    </c:title>
    <c:autoTitleDeleted val="0"/>
    <c:view3D>
      <c:rotX val="75"/>
      <c:rotY val="0"/>
      <c:rAngAx val="0"/>
    </c:view3D>
    <c:floor>
      <c:thickness val="0"/>
    </c:floor>
    <c:sideWall>
      <c:thickness val="0"/>
      <c:spPr>
        <a:noFill/>
        <a:ln w="25400">
          <a:noFill/>
        </a:ln>
      </c:spPr>
    </c:sideWall>
    <c:backWall>
      <c:thickness val="0"/>
      <c:spPr>
        <a:noFill/>
        <a:ln w="25400">
          <a:noFill/>
        </a:ln>
      </c:spPr>
    </c:backWall>
    <c:plotArea>
      <c:layout>
        <c:manualLayout>
          <c:layoutTarget val="inner"/>
          <c:xMode val="edge"/>
          <c:yMode val="edge"/>
          <c:x val="1.1300262108384779E-2"/>
          <c:y val="0.21163545733253941"/>
          <c:w val="0.54752758946310953"/>
          <c:h val="0.77989368975936835"/>
        </c:manualLayout>
      </c:layout>
      <c:pie3DChart>
        <c:varyColors val="1"/>
        <c:ser>
          <c:idx val="0"/>
          <c:order val="0"/>
          <c:tx>
            <c:strRef>
              <c:f>'EVOLUCIO DESPESES INVERSIO CAIB'!$W$7</c:f>
              <c:strCache>
                <c:ptCount val="1"/>
                <c:pt idx="0">
                  <c:v>2021</c:v>
                </c:pt>
              </c:strCache>
            </c:strRef>
          </c:tx>
          <c:spPr>
            <a:solidFill>
              <a:srgbClr val="FFFF00"/>
            </a:solidFill>
            <a:ln w="12700">
              <a:solidFill>
                <a:srgbClr val="000000"/>
              </a:solidFill>
              <a:prstDash val="solid"/>
            </a:ln>
          </c:spPr>
          <c:dPt>
            <c:idx val="0"/>
            <c:bubble3D val="0"/>
            <c:spPr>
              <a:solidFill>
                <a:srgbClr val="3366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0-913A-486C-8680-4C43048766FC}"/>
              </c:ext>
            </c:extLst>
          </c:dPt>
          <c:dPt>
            <c:idx val="1"/>
            <c:bubble3D val="0"/>
            <c:spPr>
              <a:solidFill>
                <a:srgbClr val="00FFFF"/>
              </a:solidFill>
              <a:ln w="12700">
                <a:noFill/>
                <a:prstDash val="solid"/>
              </a:ln>
              <a:scene3d>
                <a:camera prst="orthographicFront"/>
                <a:lightRig rig="threePt" dir="t"/>
              </a:scene3d>
              <a:sp3d prstMaterial="dkEdge">
                <a:bevelT w="152400"/>
                <a:contourClr>
                  <a:srgbClr val="000000"/>
                </a:contourClr>
              </a:sp3d>
            </c:spPr>
            <c:extLst>
              <c:ext xmlns:c16="http://schemas.microsoft.com/office/drawing/2014/chart" uri="{C3380CC4-5D6E-409C-BE32-E72D297353CC}">
                <c16:uniqueId val="{00000001-9F24-41C0-94C0-4F8D5F9DF8AA}"/>
              </c:ext>
            </c:extLst>
          </c:dPt>
          <c:dLbls>
            <c:dLbl>
              <c:idx val="0"/>
              <c:layout>
                <c:manualLayout>
                  <c:x val="-0.13993646317671976"/>
                  <c:y val="0.14898078916606058"/>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13A-486C-8680-4C43048766FC}"/>
                </c:ext>
              </c:extLst>
            </c:dLbl>
            <c:dLbl>
              <c:idx val="1"/>
              <c:layout>
                <c:manualLayout>
                  <c:x val="0.15175704177094149"/>
                  <c:y val="-0.23943845254637355"/>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F24-41C0-94C0-4F8D5F9DF8AA}"/>
                </c:ext>
              </c:extLst>
            </c:dLbl>
            <c:numFmt formatCode="0%" sourceLinked="0"/>
            <c:spPr>
              <a:noFill/>
              <a:ln w="25400">
                <a:noFill/>
              </a:ln>
            </c:spPr>
            <c:txPr>
              <a:bodyPr/>
              <a:lstStyle/>
              <a:p>
                <a:pPr algn="ctr" rtl="1">
                  <a:defRPr sz="1100" b="0" i="0" u="none" strike="noStrike" baseline="0">
                    <a:solidFill>
                      <a:srgbClr val="000000"/>
                    </a:solidFill>
                    <a:latin typeface="Arial"/>
                    <a:ea typeface="Arial"/>
                    <a:cs typeface="Arial"/>
                  </a:defRPr>
                </a:pPr>
                <a:endParaRPr lang="ca-ES"/>
              </a:p>
            </c:txPr>
            <c:showLegendKey val="0"/>
            <c:showVal val="0"/>
            <c:showCatName val="0"/>
            <c:showSerName val="0"/>
            <c:showPercent val="1"/>
            <c:showBubbleSize val="0"/>
            <c:showLeaderLines val="0"/>
            <c:extLst>
              <c:ext xmlns:c15="http://schemas.microsoft.com/office/drawing/2012/chart" uri="{CE6537A1-D6FC-4f65-9D91-7224C49458BB}"/>
            </c:extLst>
          </c:dLbls>
          <c:cat>
            <c:strRef>
              <c:f>'EVOLUCIO DESPESES INVERSIO CAIB'!$A$10:$A$11</c:f>
              <c:strCache>
                <c:ptCount val="2"/>
                <c:pt idx="0">
                  <c:v>OBLIGACIONS CAPÍTOL 6</c:v>
                </c:pt>
                <c:pt idx="1">
                  <c:v>OBLIGACIONS CAPÍTOL 7</c:v>
                </c:pt>
              </c:strCache>
            </c:strRef>
          </c:cat>
          <c:val>
            <c:numRef>
              <c:f>'EVOLUCIO DESPESES INVERSIO CAIB'!$W$10:$W$11</c:f>
              <c:numCache>
                <c:formatCode>#,##0.00</c:formatCode>
                <c:ptCount val="2"/>
                <c:pt idx="0">
                  <c:v>131.32</c:v>
                </c:pt>
                <c:pt idx="1">
                  <c:v>453.67</c:v>
                </c:pt>
              </c:numCache>
            </c:numRef>
          </c:val>
          <c:extLst>
            <c:ext xmlns:c16="http://schemas.microsoft.com/office/drawing/2014/chart" uri="{C3380CC4-5D6E-409C-BE32-E72D297353CC}">
              <c16:uniqueId val="{00000001-913A-486C-8680-4C43048766FC}"/>
            </c:ext>
          </c:extLst>
        </c:ser>
        <c:dLbls>
          <c:showLegendKey val="0"/>
          <c:showVal val="0"/>
          <c:showCatName val="0"/>
          <c:showSerName val="0"/>
          <c:showPercent val="1"/>
          <c:showBubbleSize val="0"/>
          <c:showLeaderLines val="0"/>
        </c:dLbls>
      </c:pie3DChart>
      <c:spPr>
        <a:scene3d>
          <a:camera prst="orthographicFront"/>
          <a:lightRig rig="threePt" dir="t"/>
        </a:scene3d>
        <a:sp3d>
          <a:bevelT w="6350"/>
        </a:sp3d>
      </c:spPr>
    </c:plotArea>
    <c:legend>
      <c:legendPos val="r"/>
      <c:legendEntry>
        <c:idx val="0"/>
        <c:txPr>
          <a:bodyPr/>
          <a:lstStyle/>
          <a:p>
            <a:pPr rtl="0">
              <a:defRPr lang="es-ES" sz="800" b="0" i="0" u="none" strike="noStrike" baseline="0">
                <a:solidFill>
                  <a:srgbClr val="000000"/>
                </a:solidFill>
                <a:latin typeface="Arial"/>
                <a:ea typeface="Arial"/>
                <a:cs typeface="Arial"/>
              </a:defRPr>
            </a:pPr>
            <a:endParaRPr lang="ca-ES"/>
          </a:p>
        </c:txPr>
      </c:legendEntry>
      <c:legendEntry>
        <c:idx val="1"/>
        <c:txPr>
          <a:bodyPr/>
          <a:lstStyle/>
          <a:p>
            <a:pPr rtl="0">
              <a:defRPr lang="es-ES" sz="800" b="0" i="0" u="none" strike="noStrike" baseline="0">
                <a:solidFill>
                  <a:srgbClr val="000000"/>
                </a:solidFill>
                <a:latin typeface="Arial"/>
                <a:ea typeface="Arial"/>
                <a:cs typeface="Arial"/>
              </a:defRPr>
            </a:pPr>
            <a:endParaRPr lang="ca-ES"/>
          </a:p>
        </c:txPr>
      </c:legendEntry>
      <c:layout>
        <c:manualLayout>
          <c:xMode val="edge"/>
          <c:yMode val="edge"/>
          <c:x val="0.61146301688365512"/>
          <c:y val="0.37656916289719189"/>
          <c:w val="0.36174438830016131"/>
          <c:h val="0.29747634486865676"/>
        </c:manualLayout>
      </c:layout>
      <c:overlay val="0"/>
      <c:spPr>
        <a:solidFill>
          <a:srgbClr val="FFFFFF"/>
        </a:solidFill>
        <a:ln w="3175">
          <a:solidFill>
            <a:srgbClr val="000000"/>
          </a:solidFill>
          <a:prstDash val="solid"/>
        </a:ln>
      </c:spPr>
      <c:txPr>
        <a:bodyPr/>
        <a:lstStyle/>
        <a:p>
          <a:pPr rtl="0">
            <a:defRPr lang="es-ES" sz="735" b="0" i="0" u="none" strike="noStrike" baseline="0">
              <a:solidFill>
                <a:srgbClr val="000000"/>
              </a:solidFill>
              <a:latin typeface="Arial"/>
              <a:ea typeface="Arial"/>
              <a:cs typeface="Arial"/>
            </a:defRPr>
          </a:pPr>
          <a:endParaRPr lang="ca-ES"/>
        </a:p>
      </c:txPr>
    </c:legend>
    <c:plotVisOnly val="1"/>
    <c:dispBlanksAs val="zero"/>
    <c:showDLblsOverMax val="0"/>
  </c:chart>
  <c:spPr>
    <a:gradFill>
      <a:gsLst>
        <a:gs pos="0">
          <a:srgbClr val="CCFFFF"/>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orientation="portrait"/>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20381226018803394"/>
          <c:y val="3.3591731266149907E-2"/>
        </c:manualLayout>
      </c:layout>
      <c:overlay val="0"/>
      <c:spPr>
        <a:noFill/>
        <a:ln w="25400">
          <a:noFill/>
        </a:ln>
      </c:spPr>
      <c:txPr>
        <a:bodyPr/>
        <a:lstStyle/>
        <a:p>
          <a:pPr>
            <a:defRPr sz="1150" b="1" i="0" u="none" strike="noStrike" baseline="0">
              <a:solidFill>
                <a:srgbClr val="000000"/>
              </a:solidFill>
              <a:latin typeface="Times New Roman"/>
              <a:ea typeface="Times New Roman"/>
              <a:cs typeface="Times New Roman"/>
            </a:defRPr>
          </a:pPr>
          <a:endParaRPr lang="ca-ES"/>
        </a:p>
      </c:txPr>
    </c:title>
    <c:autoTitleDeleted val="0"/>
    <c:plotArea>
      <c:layout>
        <c:manualLayout>
          <c:layoutTarget val="inner"/>
          <c:xMode val="edge"/>
          <c:yMode val="edge"/>
          <c:x val="8.0645219028663326E-2"/>
          <c:y val="0.17829502355616864"/>
          <c:w val="0.69220638647082033"/>
          <c:h val="0.7002601649814173"/>
        </c:manualLayout>
      </c:layout>
      <c:barChart>
        <c:barDir val="col"/>
        <c:grouping val="clustered"/>
        <c:varyColors val="0"/>
        <c:ser>
          <c:idx val="0"/>
          <c:order val="0"/>
          <c:tx>
            <c:strRef>
              <c:f>'COMPROMISOS FUTURS'!$A$4:$H$4</c:f>
              <c:strCache>
                <c:ptCount val="8"/>
                <c:pt idx="0">
                  <c:v>COMPROMISOS A CÀRREC D'EXERCICIS FUTURS  CAIB</c:v>
                </c:pt>
              </c:strCache>
            </c:strRef>
          </c:tx>
          <c:spPr>
            <a:gradFill rotWithShape="0">
              <a:gsLst>
                <a:gs pos="0">
                  <a:schemeClr val="tx2"/>
                </a:gs>
                <a:gs pos="50000">
                  <a:srgbClr val="3366FF"/>
                </a:gs>
                <a:gs pos="100000">
                  <a:srgbClr val="3366FF">
                    <a:gamma/>
                    <a:shade val="46275"/>
                    <a:invGamma/>
                  </a:srgbClr>
                </a:gs>
              </a:gsLst>
              <a:lin ang="0" scaled="1"/>
            </a:gradFill>
            <a:ln w="12700">
              <a:solidFill>
                <a:srgbClr val="000000"/>
              </a:solidFill>
              <a:prstDash val="solid"/>
            </a:ln>
          </c:spPr>
          <c:invertIfNegative val="0"/>
          <c:cat>
            <c:numRef>
              <c:f>'COMPROMISOS FUTURS'!$M$8:$W$8</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'COMPROMISOS FUTURS'!$M$10:$W$10</c:f>
              <c:numCache>
                <c:formatCode>#,##0.00</c:formatCode>
                <c:ptCount val="10"/>
                <c:pt idx="0">
                  <c:v>2183</c:v>
                </c:pt>
                <c:pt idx="1">
                  <c:v>2967.85</c:v>
                </c:pt>
                <c:pt idx="2">
                  <c:v>2528.7199999999998</c:v>
                </c:pt>
                <c:pt idx="3">
                  <c:v>2299.06</c:v>
                </c:pt>
                <c:pt idx="4">
                  <c:v>2120.5700000000002</c:v>
                </c:pt>
                <c:pt idx="5">
                  <c:v>2929.09</c:v>
                </c:pt>
                <c:pt idx="6">
                  <c:v>2737.62</c:v>
                </c:pt>
                <c:pt idx="7">
                  <c:v>2464.9</c:v>
                </c:pt>
                <c:pt idx="8">
                  <c:v>2147.89</c:v>
                </c:pt>
                <c:pt idx="9">
                  <c:v>1865.29</c:v>
                </c:pt>
              </c:numCache>
            </c:numRef>
          </c:val>
          <c:extLst>
            <c:ext xmlns:c16="http://schemas.microsoft.com/office/drawing/2014/chart" uri="{C3380CC4-5D6E-409C-BE32-E72D297353CC}">
              <c16:uniqueId val="{00000000-83DD-4414-988F-B35672380A00}"/>
            </c:ext>
          </c:extLst>
        </c:ser>
        <c:dLbls>
          <c:showLegendKey val="0"/>
          <c:showVal val="0"/>
          <c:showCatName val="0"/>
          <c:showSerName val="0"/>
          <c:showPercent val="0"/>
          <c:showBubbleSize val="0"/>
        </c:dLbls>
        <c:gapWidth val="60"/>
        <c:axId val="139236096"/>
        <c:axId val="139237632"/>
      </c:barChart>
      <c:catAx>
        <c:axId val="1392360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9237632"/>
        <c:crosses val="autoZero"/>
        <c:auto val="1"/>
        <c:lblAlgn val="ctr"/>
        <c:lblOffset val="100"/>
        <c:tickLblSkip val="1"/>
        <c:tickMarkSkip val="1"/>
        <c:noMultiLvlLbl val="0"/>
      </c:catAx>
      <c:valAx>
        <c:axId val="139237632"/>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Arial" pitchFamily="34" charset="0"/>
              </a:defRPr>
            </a:pPr>
            <a:endParaRPr lang="ca-ES"/>
          </a:p>
        </c:txPr>
        <c:crossAx val="139236096"/>
        <c:crosses val="autoZero"/>
        <c:crossBetween val="between"/>
        <c:majorUnit val="200"/>
      </c:valAx>
      <c:spPr>
        <a:solidFill>
          <a:schemeClr val="bg2"/>
        </a:solidFill>
        <a:ln w="12700">
          <a:solidFill>
            <a:srgbClr val="808080"/>
          </a:solidFill>
          <a:prstDash val="solid"/>
        </a:ln>
      </c:spPr>
    </c:plotArea>
    <c:legend>
      <c:legendPos val="r"/>
      <c:legendEntry>
        <c:idx val="0"/>
        <c:txPr>
          <a:bodyPr/>
          <a:lstStyle/>
          <a:p>
            <a:pPr>
              <a:defRPr lang="es-ES" sz="900" b="0" i="0" u="none" strike="noStrike" baseline="0">
                <a:solidFill>
                  <a:srgbClr val="000000"/>
                </a:solidFill>
                <a:latin typeface="Arial" pitchFamily="34" charset="0"/>
                <a:ea typeface="Times New Roman"/>
                <a:cs typeface="Arial" pitchFamily="34" charset="0"/>
              </a:defRPr>
            </a:pPr>
            <a:endParaRPr lang="ca-ES"/>
          </a:p>
        </c:txPr>
      </c:legendEntry>
      <c:layout>
        <c:manualLayout>
          <c:xMode val="edge"/>
          <c:yMode val="edge"/>
          <c:x val="0.80182785199343554"/>
          <c:y val="0.41981936518067275"/>
          <c:w val="0.18332027922631045"/>
          <c:h val="0.21564901286564295"/>
        </c:manualLayout>
      </c:layout>
      <c:overlay val="0"/>
      <c:spPr>
        <a:solidFill>
          <a:srgbClr val="FFFFFF"/>
        </a:solidFill>
        <a:ln w="3175">
          <a:solidFill>
            <a:srgbClr val="000000"/>
          </a:solidFill>
          <a:prstDash val="solid"/>
        </a:ln>
      </c:spPr>
      <c:txPr>
        <a:bodyPr/>
        <a:lstStyle/>
        <a:p>
          <a:pPr>
            <a:defRPr lang="es-ES" sz="1100" b="0" i="0" u="none" strike="noStrike" baseline="0">
              <a:solidFill>
                <a:srgbClr val="000000"/>
              </a:solidFill>
              <a:latin typeface="Arial" pitchFamily="34" charset="0"/>
              <a:ea typeface="Times New Roman"/>
              <a:cs typeface="Arial" pitchFamily="34" charset="0"/>
            </a:defRPr>
          </a:pPr>
          <a:endParaRPr lang="ca-ES"/>
        </a:p>
      </c:txPr>
    </c:legend>
    <c:plotVisOnly val="1"/>
    <c:dispBlanksAs val="gap"/>
    <c:showDLblsOverMax val="0"/>
  </c:chart>
  <c:spPr>
    <a:solidFill>
      <a:srgbClr val="4BACC6">
        <a:lumMod val="20000"/>
        <a:lumOff val="80000"/>
      </a:srgbClr>
    </a:solidFill>
    <a:ln w="3175">
      <a:noFill/>
      <a:prstDash val="solid"/>
    </a:ln>
  </c:spPr>
  <c:txPr>
    <a:bodyPr/>
    <a:lstStyle/>
    <a:p>
      <a:pPr>
        <a:defRPr sz="12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400" b="1" i="0" u="none" strike="noStrike" baseline="0">
                <a:solidFill>
                  <a:srgbClr val="000000"/>
                </a:solidFill>
                <a:latin typeface="Arial"/>
                <a:ea typeface="Arial"/>
                <a:cs typeface="Arial"/>
              </a:defRPr>
            </a:pPr>
            <a:r>
              <a:rPr lang="es-ES"/>
              <a:t>CAIB</a:t>
            </a:r>
          </a:p>
        </c:rich>
      </c:tx>
      <c:layout>
        <c:manualLayout>
          <c:xMode val="edge"/>
          <c:yMode val="edge"/>
          <c:x val="0.46082958918310435"/>
          <c:y val="3.74531933508312E-2"/>
        </c:manualLayout>
      </c:layout>
      <c:overlay val="0"/>
      <c:spPr>
        <a:noFill/>
        <a:ln w="25400">
          <a:noFill/>
        </a:ln>
      </c:spPr>
    </c:title>
    <c:autoTitleDeleted val="0"/>
    <c:plotArea>
      <c:layout>
        <c:manualLayout>
          <c:layoutTarget val="inner"/>
          <c:xMode val="edge"/>
          <c:yMode val="edge"/>
          <c:x val="9.9311418671784973E-2"/>
          <c:y val="0.14312338918597106"/>
          <c:w val="0.67926793067462665"/>
          <c:h val="0.75302882900054247"/>
        </c:manualLayout>
      </c:layout>
      <c:barChart>
        <c:barDir val="col"/>
        <c:grouping val="clustered"/>
        <c:varyColors val="0"/>
        <c:ser>
          <c:idx val="0"/>
          <c:order val="0"/>
          <c:tx>
            <c:v>DEUDA VIVA Y CARGA FINANCIERA FUTURA TOTAL DEL ENDEUDAMIENTO PREVISTO HASTA SU VENCIMIENTO</c:v>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'DEUTE VIU'!$N$7:$W$7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'DEUTE VIU'!$N$13:$W$13</c:f>
              <c:numCache>
                <c:formatCode>#,##0.00</c:formatCode>
                <c:ptCount val="10"/>
                <c:pt idx="0">
                  <c:v>5899.1399999999994</c:v>
                </c:pt>
                <c:pt idx="1">
                  <c:v>6690.75</c:v>
                </c:pt>
                <c:pt idx="2">
                  <c:v>7081.41</c:v>
                </c:pt>
                <c:pt idx="3">
                  <c:v>7665.02</c:v>
                </c:pt>
                <c:pt idx="4">
                  <c:v>9340.84</c:v>
                </c:pt>
                <c:pt idx="5">
                  <c:v>8534.33</c:v>
                </c:pt>
                <c:pt idx="6">
                  <c:v>8510.86</c:v>
                </c:pt>
                <c:pt idx="7">
                  <c:v>8723.11</c:v>
                </c:pt>
                <c:pt idx="8">
                  <c:v>8935.59</c:v>
                </c:pt>
                <c:pt idx="9">
                  <c:v>8805.91</c:v>
                </c:pt>
              </c:numCache>
            </c:numRef>
          </c:val>
          <c:extLst>
            <c:ext xmlns:c16="http://schemas.microsoft.com/office/drawing/2014/chart" uri="{C3380CC4-5D6E-409C-BE32-E72D297353CC}">
              <c16:uniqueId val="{00000000-E66B-445E-9F27-A1975E4D4977}"/>
            </c:ext>
          </c:extLst>
        </c:ser>
        <c:dLbls>
          <c:showLegendKey val="0"/>
          <c:showVal val="0"/>
          <c:showCatName val="0"/>
          <c:showSerName val="0"/>
          <c:showPercent val="0"/>
          <c:showBubbleSize val="0"/>
        </c:dLbls>
        <c:gapWidth val="70"/>
        <c:axId val="112016768"/>
        <c:axId val="138818688"/>
      </c:barChart>
      <c:catAx>
        <c:axId val="1120167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ca-ES"/>
          </a:p>
        </c:txPr>
        <c:crossAx val="138818688"/>
        <c:crosses val="autoZero"/>
        <c:auto val="1"/>
        <c:lblAlgn val="ctr"/>
        <c:lblOffset val="100"/>
        <c:tickLblSkip val="1"/>
        <c:tickMarkSkip val="1"/>
        <c:noMultiLvlLbl val="0"/>
      </c:catAx>
      <c:valAx>
        <c:axId val="138818688"/>
        <c:scaling>
          <c:orientation val="minMax"/>
          <c:max val="9500"/>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ca-ES"/>
          </a:p>
        </c:txPr>
        <c:crossAx val="112016768"/>
        <c:crosses val="autoZero"/>
        <c:crossBetween val="between"/>
        <c:majorUnit val="500"/>
      </c:valAx>
      <c:spPr>
        <a:solidFill>
          <a:schemeClr val="bg2"/>
        </a:solidFill>
        <a:ln w="12700">
          <a:solidFill>
            <a:srgbClr val="808080"/>
          </a:solidFill>
          <a:prstDash val="solid"/>
        </a:ln>
      </c:spPr>
    </c:plotArea>
    <c:legend>
      <c:legendPos val="r"/>
      <c:legendEntry>
        <c:idx val="0"/>
        <c:txPr>
          <a:bodyPr/>
          <a:lstStyle/>
          <a:p>
            <a:pPr>
              <a:defRPr lang="es-ES" sz="800" b="0" i="0" u="none" strike="noStrike" baseline="0">
                <a:solidFill>
                  <a:srgbClr val="000000"/>
                </a:solidFill>
                <a:latin typeface="Arial"/>
                <a:ea typeface="Arial"/>
                <a:cs typeface="Arial"/>
              </a:defRPr>
            </a:pPr>
            <a:endParaRPr lang="ca-ES"/>
          </a:p>
        </c:txPr>
      </c:legendEntry>
      <c:layout>
        <c:manualLayout>
          <c:xMode val="edge"/>
          <c:yMode val="edge"/>
          <c:x val="0.79777449919577892"/>
          <c:y val="0.34239960791141927"/>
          <c:w val="0.18204378125897691"/>
          <c:h val="0.3697642954335868"/>
        </c:manualLayout>
      </c:layout>
      <c:overlay val="0"/>
      <c:spPr>
        <a:solidFill>
          <a:srgbClr val="FFFFFF"/>
        </a:solidFill>
        <a:ln w="3175">
          <a:solidFill>
            <a:srgbClr val="000000"/>
          </a:solidFill>
          <a:prstDash val="solid"/>
        </a:ln>
      </c:spPr>
      <c:txPr>
        <a:bodyPr/>
        <a:lstStyle/>
        <a:p>
          <a:pPr>
            <a:defRPr lang="es-ES" sz="1100" b="0" i="0" u="none" strike="noStrike" baseline="0">
              <a:solidFill>
                <a:srgbClr val="000000"/>
              </a:solidFill>
              <a:latin typeface="Arial"/>
              <a:ea typeface="Arial"/>
              <a:cs typeface="Arial"/>
            </a:defRPr>
          </a:pPr>
          <a:endParaRPr lang="ca-ES"/>
        </a:p>
      </c:txPr>
    </c:legend>
    <c:plotVisOnly val="1"/>
    <c:dispBlanksAs val="gap"/>
    <c:showDLblsOverMax val="0"/>
  </c:chart>
  <c:spPr>
    <a:solidFill>
      <a:schemeClr val="accent5">
        <a:lumMod val="20000"/>
        <a:lumOff val="80000"/>
      </a:schemeClr>
    </a:solidFill>
    <a:ln w="3175">
      <a:noFill/>
      <a:prstDash val="solid"/>
    </a:ln>
  </c:spPr>
  <c:txPr>
    <a:bodyPr/>
    <a:lstStyle/>
    <a:p>
      <a:pPr>
        <a:defRPr sz="97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400" b="1" i="0" u="none" strike="noStrike" baseline="0">
                <a:solidFill>
                  <a:srgbClr val="000000"/>
                </a:solidFill>
                <a:latin typeface="Arial"/>
                <a:ea typeface="Arial"/>
                <a:cs typeface="Arial"/>
              </a:defRPr>
            </a:pPr>
            <a:r>
              <a:rPr lang="es-ES"/>
              <a:t>IBSA</a:t>
            </a:r>
          </a:p>
        </c:rich>
      </c:tx>
      <c:layout>
        <c:manualLayout>
          <c:xMode val="edge"/>
          <c:yMode val="edge"/>
          <c:x val="0.46082958918310446"/>
          <c:y val="3.74531933508312E-2"/>
        </c:manualLayout>
      </c:layout>
      <c:overlay val="0"/>
      <c:spPr>
        <a:noFill/>
        <a:ln w="25400">
          <a:noFill/>
        </a:ln>
      </c:spPr>
    </c:title>
    <c:autoTitleDeleted val="0"/>
    <c:plotArea>
      <c:layout>
        <c:manualLayout>
          <c:layoutTarget val="inner"/>
          <c:xMode val="edge"/>
          <c:yMode val="edge"/>
          <c:x val="6.8061351706036818E-2"/>
          <c:y val="0.14312338918597112"/>
          <c:w val="0.70829846164452614"/>
          <c:h val="0.7530288290005428"/>
        </c:manualLayout>
      </c:layout>
      <c:barChart>
        <c:barDir val="col"/>
        <c:grouping val="clustered"/>
        <c:varyColors val="0"/>
        <c:ser>
          <c:idx val="0"/>
          <c:order val="0"/>
          <c:tx>
            <c:v>DEUDA VIVA Y CARGA FINANCIERA FUTURA TOTAL DEL ENDEUDAMIENTO PREVISTO HASTA SU VENCIMIENTO</c:v>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'DEUTE VIU'!$N$15:$W$15</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'DEUTE VIU'!$N$21:$W$21</c:f>
              <c:numCache>
                <c:formatCode>#,##0.00</c:formatCode>
                <c:ptCount val="10"/>
                <c:pt idx="0">
                  <c:v>78.789999999999992</c:v>
                </c:pt>
                <c:pt idx="1">
                  <c:v>73.86</c:v>
                </c:pt>
                <c:pt idx="2">
                  <c:v>66.97</c:v>
                </c:pt>
                <c:pt idx="3">
                  <c:v>63.89</c:v>
                </c:pt>
                <c:pt idx="4">
                  <c:v>57.680000000000007</c:v>
                </c:pt>
                <c:pt idx="5">
                  <c:v>52.84</c:v>
                </c:pt>
                <c:pt idx="6">
                  <c:v>48.06</c:v>
                </c:pt>
                <c:pt idx="7">
                  <c:v>43.89</c:v>
                </c:pt>
                <c:pt idx="8">
                  <c:v>40.96</c:v>
                </c:pt>
                <c:pt idx="9">
                  <c:v>38.440000000000005</c:v>
                </c:pt>
              </c:numCache>
            </c:numRef>
          </c:val>
          <c:extLst>
            <c:ext xmlns:c16="http://schemas.microsoft.com/office/drawing/2014/chart" uri="{C3380CC4-5D6E-409C-BE32-E72D297353CC}">
              <c16:uniqueId val="{00000000-E66B-445E-9F27-A1975E4D4977}"/>
            </c:ext>
          </c:extLst>
        </c:ser>
        <c:dLbls>
          <c:showLegendKey val="0"/>
          <c:showVal val="0"/>
          <c:showCatName val="0"/>
          <c:showSerName val="0"/>
          <c:showPercent val="0"/>
          <c:showBubbleSize val="0"/>
        </c:dLbls>
        <c:gapWidth val="70"/>
        <c:axId val="139482624"/>
        <c:axId val="139484160"/>
      </c:barChart>
      <c:catAx>
        <c:axId val="1394826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ca-ES"/>
          </a:p>
        </c:txPr>
        <c:crossAx val="139484160"/>
        <c:crosses val="autoZero"/>
        <c:auto val="1"/>
        <c:lblAlgn val="ctr"/>
        <c:lblOffset val="100"/>
        <c:tickLblSkip val="1"/>
        <c:tickMarkSkip val="1"/>
        <c:noMultiLvlLbl val="0"/>
      </c:catAx>
      <c:valAx>
        <c:axId val="139484160"/>
        <c:scaling>
          <c:orientation val="minMax"/>
          <c:max val="100"/>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ca-ES"/>
          </a:p>
        </c:txPr>
        <c:crossAx val="139482624"/>
        <c:crosses val="autoZero"/>
        <c:crossBetween val="between"/>
        <c:majorUnit val="5"/>
      </c:valAx>
      <c:spPr>
        <a:solidFill>
          <a:schemeClr val="bg2"/>
        </a:solidFill>
        <a:ln w="12700">
          <a:solidFill>
            <a:srgbClr val="808080"/>
          </a:solidFill>
          <a:prstDash val="solid"/>
        </a:ln>
      </c:spPr>
    </c:plotArea>
    <c:legend>
      <c:legendPos val="r"/>
      <c:legendEntry>
        <c:idx val="0"/>
        <c:txPr>
          <a:bodyPr/>
          <a:lstStyle/>
          <a:p>
            <a:pPr>
              <a:defRPr lang="es-ES" sz="800" b="0" i="0" u="none" strike="noStrike" baseline="0">
                <a:solidFill>
                  <a:srgbClr val="000000"/>
                </a:solidFill>
                <a:latin typeface="Arial"/>
                <a:ea typeface="Arial"/>
                <a:cs typeface="Arial"/>
              </a:defRPr>
            </a:pPr>
            <a:endParaRPr lang="ca-ES"/>
          </a:p>
        </c:txPr>
      </c:legendEntry>
      <c:layout>
        <c:manualLayout>
          <c:xMode val="edge"/>
          <c:yMode val="edge"/>
          <c:x val="0.79206264194812426"/>
          <c:y val="0.33257159808340953"/>
          <c:w val="0.18204378125897691"/>
          <c:h val="0.3697642954335868"/>
        </c:manualLayout>
      </c:layout>
      <c:overlay val="0"/>
      <c:spPr>
        <a:solidFill>
          <a:srgbClr val="FFFFFF"/>
        </a:solidFill>
        <a:ln w="3175">
          <a:solidFill>
            <a:srgbClr val="000000"/>
          </a:solidFill>
          <a:prstDash val="solid"/>
        </a:ln>
      </c:spPr>
      <c:txPr>
        <a:bodyPr/>
        <a:lstStyle/>
        <a:p>
          <a:pPr>
            <a:defRPr lang="es-ES" sz="1100" b="0" i="0" u="none" strike="noStrike" baseline="0">
              <a:solidFill>
                <a:srgbClr val="000000"/>
              </a:solidFill>
              <a:latin typeface="Arial"/>
              <a:ea typeface="Arial"/>
              <a:cs typeface="Arial"/>
            </a:defRPr>
          </a:pPr>
          <a:endParaRPr lang="ca-ES"/>
        </a:p>
      </c:txPr>
    </c:legend>
    <c:plotVisOnly val="1"/>
    <c:dispBlanksAs val="gap"/>
    <c:showDLblsOverMax val="0"/>
  </c:chart>
  <c:spPr>
    <a:solidFill>
      <a:schemeClr val="accent5">
        <a:lumMod val="20000"/>
        <a:lumOff val="80000"/>
      </a:schemeClr>
    </a:solidFill>
    <a:ln w="3175">
      <a:noFill/>
      <a:prstDash val="solid"/>
    </a:ln>
  </c:spPr>
  <c:txPr>
    <a:bodyPr/>
    <a:lstStyle/>
    <a:p>
      <a:pPr>
        <a:defRPr sz="97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952084080596217E-2"/>
          <c:y val="0.13150694246120803"/>
          <c:w val="0.67672188976381176"/>
          <c:h val="0.74794520547949073"/>
        </c:manualLayout>
      </c:layout>
      <c:barChart>
        <c:barDir val="col"/>
        <c:grouping val="clustered"/>
        <c:varyColors val="0"/>
        <c:ser>
          <c:idx val="0"/>
          <c:order val="0"/>
          <c:tx>
            <c:strRef>
              <c:f>'COBERTURA INVERSIONS'!$A$10</c:f>
              <c:strCache>
                <c:ptCount val="1"/>
                <c:pt idx="0">
                  <c:v>Despeses de capital</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a:scene3d>
              <a:camera prst="orthographicFront"/>
              <a:lightRig rig="threePt" dir="t"/>
            </a:scene3d>
            <a:sp3d prstMaterial="dkEdge">
              <a:bevelT w="0" h="0"/>
            </a:sp3d>
          </c:spPr>
          <c:invertIfNegative val="0"/>
          <c:cat>
            <c:numRef>
              <c:f>'COBERTURA INVERSIONS'!$N$7:$W$7</c:f>
              <c:numCache>
                <c:formatCode>0</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'COBERTURA INVERSIONS'!$N$10:$W$10</c:f>
              <c:numCache>
                <c:formatCode>#,##0.00</c:formatCode>
                <c:ptCount val="10"/>
                <c:pt idx="0">
                  <c:v>390.84398783999995</c:v>
                </c:pt>
                <c:pt idx="1">
                  <c:v>421.96000000000004</c:v>
                </c:pt>
                <c:pt idx="2">
                  <c:v>406.86</c:v>
                </c:pt>
                <c:pt idx="3">
                  <c:v>440.56</c:v>
                </c:pt>
                <c:pt idx="4">
                  <c:v>450.40000000000003</c:v>
                </c:pt>
                <c:pt idx="5">
                  <c:v>581.54999999999995</c:v>
                </c:pt>
                <c:pt idx="6">
                  <c:v>663.7</c:v>
                </c:pt>
                <c:pt idx="7">
                  <c:v>624.82000000000005</c:v>
                </c:pt>
                <c:pt idx="8">
                  <c:v>574.07000000000005</c:v>
                </c:pt>
                <c:pt idx="9">
                  <c:v>584.99</c:v>
                </c:pt>
              </c:numCache>
            </c:numRef>
          </c:val>
          <c:extLst>
            <c:ext xmlns:c16="http://schemas.microsoft.com/office/drawing/2014/chart" uri="{C3380CC4-5D6E-409C-BE32-E72D297353CC}">
              <c16:uniqueId val="{00000000-9933-41DC-B4C2-79E673384394}"/>
            </c:ext>
          </c:extLst>
        </c:ser>
        <c:ser>
          <c:idx val="1"/>
          <c:order val="1"/>
          <c:tx>
            <c:strRef>
              <c:f>'COBERTURA INVERSIONS'!$A$11</c:f>
              <c:strCache>
                <c:ptCount val="1"/>
                <c:pt idx="0">
                  <c:v>Estalvi brut + ingressos de capital</c:v>
                </c:pt>
              </c:strCache>
            </c:strRef>
          </c:tx>
          <c:spPr>
            <a:gradFill>
              <a:gsLst>
                <a:gs pos="0">
                  <a:srgbClr val="00FFFF">
                    <a:gamma/>
                    <a:shade val="46275"/>
                    <a:invGamma/>
                  </a:srgbClr>
                </a:gs>
                <a:gs pos="50000">
                  <a:srgbClr val="00FFFF"/>
                </a:gs>
                <a:gs pos="100000">
                  <a:srgbClr val="00FFFF">
                    <a:gamma/>
                    <a:shade val="46275"/>
                    <a:invGamma/>
                  </a:srgbClr>
                </a:gs>
              </a:gsLst>
              <a:lin ang="0" scaled="1"/>
            </a:gradFill>
            <a:scene3d>
              <a:camera prst="orthographicFront"/>
              <a:lightRig rig="threePt" dir="t"/>
            </a:scene3d>
            <a:sp3d prstMaterial="dkEdge">
              <a:bevelT w="0" h="0"/>
            </a:sp3d>
          </c:spPr>
          <c:invertIfNegative val="0"/>
          <c:cat>
            <c:numRef>
              <c:f>'COBERTURA INVERSIONS'!$N$7:$W$7</c:f>
              <c:numCache>
                <c:formatCode>0</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'COBERTURA INVERSIONS'!$N$11:$W$11</c:f>
              <c:numCache>
                <c:formatCode>#,##0.00</c:formatCode>
                <c:ptCount val="10"/>
                <c:pt idx="0">
                  <c:v>-636.85833409000031</c:v>
                </c:pt>
                <c:pt idx="1">
                  <c:v>47.540000000000475</c:v>
                </c:pt>
                <c:pt idx="2">
                  <c:v>47.540000000000475</c:v>
                </c:pt>
                <c:pt idx="3">
                  <c:v>47.540000000000475</c:v>
                </c:pt>
                <c:pt idx="4">
                  <c:v>47.540000000000475</c:v>
                </c:pt>
                <c:pt idx="5">
                  <c:v>4.0299999999996885</c:v>
                </c:pt>
                <c:pt idx="6">
                  <c:v>66.489999999999739</c:v>
                </c:pt>
                <c:pt idx="7">
                  <c:v>243.78</c:v>
                </c:pt>
                <c:pt idx="8">
                  <c:v>320.02000000000004</c:v>
                </c:pt>
                <c:pt idx="9">
                  <c:v>433.21999999999935</c:v>
                </c:pt>
              </c:numCache>
            </c:numRef>
          </c:val>
          <c:extLst>
            <c:ext xmlns:c16="http://schemas.microsoft.com/office/drawing/2014/chart" uri="{C3380CC4-5D6E-409C-BE32-E72D297353CC}">
              <c16:uniqueId val="{00000000-8DC1-459E-8236-0D660C4ED8B0}"/>
            </c:ext>
          </c:extLst>
        </c:ser>
        <c:dLbls>
          <c:showLegendKey val="0"/>
          <c:showVal val="0"/>
          <c:showCatName val="0"/>
          <c:showSerName val="0"/>
          <c:showPercent val="0"/>
          <c:showBubbleSize val="0"/>
        </c:dLbls>
        <c:gapWidth val="60"/>
        <c:axId val="142795904"/>
        <c:axId val="142797440"/>
      </c:barChart>
      <c:catAx>
        <c:axId val="142795904"/>
        <c:scaling>
          <c:orientation val="minMax"/>
        </c:scaling>
        <c:delete val="0"/>
        <c:axPos val="b"/>
        <c:numFmt formatCode="0" sourceLinked="1"/>
        <c:majorTickMark val="out"/>
        <c:minorTickMark val="none"/>
        <c:tickLblPos val="low"/>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Times New Roman"/>
              </a:defRPr>
            </a:pPr>
            <a:endParaRPr lang="ca-ES"/>
          </a:p>
        </c:txPr>
        <c:crossAx val="142797440"/>
        <c:crosses val="autoZero"/>
        <c:auto val="1"/>
        <c:lblAlgn val="ctr"/>
        <c:lblOffset val="100"/>
        <c:tickLblSkip val="1"/>
        <c:tickMarkSkip val="1"/>
        <c:noMultiLvlLbl val="0"/>
      </c:catAx>
      <c:valAx>
        <c:axId val="142797440"/>
        <c:scaling>
          <c:orientation val="minMax"/>
          <c:max val="700"/>
          <c:min val="-700"/>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Times New Roman"/>
              </a:defRPr>
            </a:pPr>
            <a:endParaRPr lang="ca-ES"/>
          </a:p>
        </c:txPr>
        <c:crossAx val="142795904"/>
        <c:crosses val="autoZero"/>
        <c:crossBetween val="between"/>
        <c:majorUnit val="100"/>
      </c:valAx>
      <c:spPr>
        <a:solidFill>
          <a:schemeClr val="bg2"/>
        </a:solidFill>
        <a:ln w="12700">
          <a:solidFill>
            <a:srgbClr val="808080"/>
          </a:solidFill>
          <a:prstDash val="solid"/>
        </a:ln>
      </c:spPr>
    </c:plotArea>
    <c:legend>
      <c:legendPos val="r"/>
      <c:legendEntry>
        <c:idx val="0"/>
        <c:txPr>
          <a:bodyPr/>
          <a:lstStyle/>
          <a:p>
            <a:pPr>
              <a:defRPr lang="es-ES" sz="900" b="0" i="0" u="none" strike="noStrike" baseline="0">
                <a:solidFill>
                  <a:srgbClr val="000000"/>
                </a:solidFill>
                <a:latin typeface="Arial" pitchFamily="34" charset="0"/>
                <a:ea typeface="Times New Roman"/>
                <a:cs typeface="Times New Roman"/>
              </a:defRPr>
            </a:pPr>
            <a:endParaRPr lang="ca-ES"/>
          </a:p>
        </c:txPr>
      </c:legendEntry>
      <c:legendEntry>
        <c:idx val="1"/>
        <c:txPr>
          <a:bodyPr/>
          <a:lstStyle/>
          <a:p>
            <a:pPr>
              <a:defRPr lang="es-ES" sz="900" b="0" i="0" u="none" strike="noStrike" baseline="0">
                <a:solidFill>
                  <a:srgbClr val="000000"/>
                </a:solidFill>
                <a:latin typeface="Arial" pitchFamily="34" charset="0"/>
                <a:ea typeface="Times New Roman"/>
                <a:cs typeface="Times New Roman"/>
              </a:defRPr>
            </a:pPr>
            <a:endParaRPr lang="ca-ES"/>
          </a:p>
        </c:txPr>
      </c:legendEntry>
      <c:layout>
        <c:manualLayout>
          <c:xMode val="edge"/>
          <c:yMode val="edge"/>
          <c:x val="0.79265720959732688"/>
          <c:y val="0.38938784398675119"/>
          <c:w val="0.15758674566465047"/>
          <c:h val="0.19193113961191541"/>
        </c:manualLayout>
      </c:layout>
      <c:overlay val="0"/>
      <c:spPr>
        <a:solidFill>
          <a:srgbClr val="FFFFFF"/>
        </a:solidFill>
        <a:ln w="3175">
          <a:solidFill>
            <a:srgbClr val="000000"/>
          </a:solidFill>
          <a:prstDash val="solid"/>
        </a:ln>
      </c:spPr>
      <c:txPr>
        <a:bodyPr/>
        <a:lstStyle/>
        <a:p>
          <a:pPr>
            <a:defRPr lang="es-ES" sz="1000"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77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b="1" i="0" u="none" strike="noStrike" baseline="0">
                <a:solidFill>
                  <a:srgbClr val="000000"/>
                </a:solidFill>
                <a:latin typeface="Arial"/>
                <a:ea typeface="Arial"/>
                <a:cs typeface="Arial"/>
              </a:defRPr>
            </a:pPr>
            <a:r>
              <a:rPr lang="es-ES"/>
              <a:t>EVOLUCION DEL REMANENTE DE TESORERIA</a:t>
            </a:r>
          </a:p>
        </c:rich>
      </c:tx>
      <c:layout>
        <c:manualLayout>
          <c:xMode val="edge"/>
          <c:yMode val="edge"/>
          <c:x val="0"/>
          <c:y val="0"/>
        </c:manualLayout>
      </c:layout>
      <c:overlay val="0"/>
      <c:spPr>
        <a:noFill/>
        <a:ln w="25400">
          <a:noFill/>
        </a:ln>
      </c:spPr>
    </c:title>
    <c:autoTitleDeleted val="0"/>
    <c:view3D>
      <c:rotX val="15"/>
      <c:hPercent val="95"/>
      <c:rotY val="20"/>
      <c:depthPercent val="2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stacked"/>
        <c:varyColors val="0"/>
        <c:ser>
          <c:idx val="0"/>
          <c:order val="0"/>
          <c:spPr>
            <a:solidFill>
              <a:srgbClr val="9999FF"/>
            </a:solidFill>
            <a:ln w="12700">
              <a:solidFill>
                <a:srgbClr val="000000"/>
              </a:solidFill>
              <a:prstDash val="solid"/>
            </a:ln>
          </c:spPr>
          <c:invertIfNegative val="0"/>
          <c:cat>
            <c:strLit>
              <c:ptCount val="7"/>
              <c:pt idx="0">
                <c:v>1990</c:v>
              </c:pt>
              <c:pt idx="1">
                <c:v>1991</c:v>
              </c:pt>
              <c:pt idx="2">
                <c:v>1992</c:v>
              </c:pt>
              <c:pt idx="3">
                <c:v>1993</c:v>
              </c:pt>
              <c:pt idx="4">
                <c:v>1994</c:v>
              </c:pt>
              <c:pt idx="5">
                <c:v>1995</c:v>
              </c:pt>
              <c:pt idx="6">
                <c:v>1996</c:v>
              </c:pt>
            </c:strLit>
          </c:cat>
          <c:val>
            <c:numLit>
              <c:formatCode>General</c:formatCode>
              <c:ptCount val="7"/>
              <c:pt idx="0">
                <c:v>12365</c:v>
              </c:pt>
              <c:pt idx="1">
                <c:v>3245</c:v>
              </c:pt>
              <c:pt idx="2">
                <c:v>-3461</c:v>
              </c:pt>
              <c:pt idx="3">
                <c:v>-2396</c:v>
              </c:pt>
              <c:pt idx="4">
                <c:v>1953</c:v>
              </c:pt>
              <c:pt idx="5">
                <c:v>5258</c:v>
              </c:pt>
              <c:pt idx="6">
                <c:v>5392</c:v>
              </c:pt>
            </c:numLit>
          </c:val>
          <c:extLst>
            <c:ext xmlns:c16="http://schemas.microsoft.com/office/drawing/2014/chart" uri="{C3380CC4-5D6E-409C-BE32-E72D297353CC}">
              <c16:uniqueId val="{00000000-8D52-4478-B1A3-E9155B87FD42}"/>
            </c:ext>
          </c:extLst>
        </c:ser>
        <c:ser>
          <c:idx val="1"/>
          <c:order val="1"/>
          <c:spPr>
            <a:solidFill>
              <a:srgbClr val="993366"/>
            </a:solidFill>
            <a:ln w="12700">
              <a:solidFill>
                <a:srgbClr val="000000"/>
              </a:solidFill>
              <a:prstDash val="solid"/>
            </a:ln>
          </c:spPr>
          <c:invertIfNegative val="0"/>
          <c:cat>
            <c:strLit>
              <c:ptCount val="7"/>
              <c:pt idx="0">
                <c:v>1990</c:v>
              </c:pt>
              <c:pt idx="1">
                <c:v>1991</c:v>
              </c:pt>
              <c:pt idx="2">
                <c:v>1992</c:v>
              </c:pt>
              <c:pt idx="3">
                <c:v>1993</c:v>
              </c:pt>
              <c:pt idx="4">
                <c:v>1994</c:v>
              </c:pt>
              <c:pt idx="5">
                <c:v>1995</c:v>
              </c:pt>
              <c:pt idx="6">
                <c:v>1996</c:v>
              </c:pt>
            </c:strLit>
          </c:cat>
          <c:val>
            <c:numLit>
              <c:formatCode>General</c:formatCode>
              <c:ptCount val="1"/>
              <c:pt idx="0">
                <c:v>0</c:v>
              </c:pt>
            </c:numLit>
          </c:val>
          <c:extLst>
            <c:ext xmlns:c16="http://schemas.microsoft.com/office/drawing/2014/chart" uri="{C3380CC4-5D6E-409C-BE32-E72D297353CC}">
              <c16:uniqueId val="{00000001-8D52-4478-B1A3-E9155B87FD42}"/>
            </c:ext>
          </c:extLst>
        </c:ser>
        <c:dLbls>
          <c:showLegendKey val="0"/>
          <c:showVal val="0"/>
          <c:showCatName val="0"/>
          <c:showSerName val="0"/>
          <c:showPercent val="0"/>
          <c:showBubbleSize val="0"/>
        </c:dLbls>
        <c:gapWidth val="150"/>
        <c:gapDepth val="0"/>
        <c:shape val="box"/>
        <c:axId val="108255872"/>
        <c:axId val="108257664"/>
        <c:axId val="0"/>
      </c:bar3DChart>
      <c:catAx>
        <c:axId val="10825587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08257664"/>
        <c:crosses val="autoZero"/>
        <c:auto val="0"/>
        <c:lblAlgn val="ctr"/>
        <c:lblOffset val="100"/>
        <c:tickLblSkip val="5"/>
        <c:tickMarkSkip val="1"/>
        <c:noMultiLvlLbl val="0"/>
      </c:catAx>
      <c:valAx>
        <c:axId val="108257664"/>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08255872"/>
        <c:crosses val="autoZero"/>
        <c:crossBetween val="between"/>
      </c:valAx>
      <c:spPr>
        <a:noFill/>
        <a:ln w="25400">
          <a:noFill/>
        </a:ln>
      </c:spPr>
    </c:plotArea>
    <c:legend>
      <c:legendPos val="r"/>
      <c:overlay val="0"/>
      <c:spPr>
        <a:solidFill>
          <a:srgbClr val="FFFFFF"/>
        </a:solidFill>
        <a:ln w="3175">
          <a:solidFill>
            <a:srgbClr val="000000"/>
          </a:solidFill>
          <a:prstDash val="solid"/>
        </a:ln>
      </c:spPr>
      <c:txPr>
        <a:bodyPr/>
        <a:lstStyle/>
        <a:p>
          <a:pPr>
            <a:defRPr lang="es-ES" sz="735" b="0" i="0" u="none" strike="noStrike" baseline="0">
              <a:solidFill>
                <a:srgbClr val="000000"/>
              </a:solidFill>
              <a:latin typeface="Arial"/>
              <a:ea typeface="Arial"/>
              <a:cs typeface="Arial"/>
            </a:defRPr>
          </a:pPr>
          <a:endParaRPr lang="ca-E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oddHeader>&amp;A</c:oddHeader>
      <c:oddFooter>Página &amp;P</c:oddFooter>
    </c:headerFooter>
    <c:pageMargins b="1" l="0.75000000000001465" r="0.75000000000001465" t="1" header="0.511811024" footer="0.51181102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b="1" i="0" u="none" strike="noStrike" baseline="0">
                <a:solidFill>
                  <a:srgbClr val="000000"/>
                </a:solidFill>
                <a:latin typeface="Arial"/>
                <a:ea typeface="Arial"/>
                <a:cs typeface="Arial"/>
              </a:defRPr>
            </a:pPr>
            <a:r>
              <a:rPr lang="es-ES"/>
              <a:t>ESTRUCTURA FINANCIACION CAIB Presupuesto liquidado 1995</a:t>
            </a:r>
          </a:p>
        </c:rich>
      </c:tx>
      <c:layout>
        <c:manualLayout>
          <c:xMode val="edge"/>
          <c:yMode val="edge"/>
          <c:x val="0"/>
          <c:y val="0"/>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pie3DChart>
        <c:varyColors val="1"/>
        <c:ser>
          <c:idx val="0"/>
          <c:order val="0"/>
          <c:spPr>
            <a:solidFill>
              <a:srgbClr val="9999FF"/>
            </a:solidFill>
            <a:ln w="12700">
              <a:solidFill>
                <a:srgbClr val="000000"/>
              </a:solidFill>
              <a:prstDash val="solid"/>
            </a:ln>
          </c:spPr>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00-E041-4169-9544-8FECF14758F1}"/>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1-E041-4169-9544-8FECF14758F1}"/>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02-E041-4169-9544-8FECF14758F1}"/>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ca-E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Lit>
              <c:ptCount val="4"/>
              <c:pt idx="0">
                <c:v>Ingresos tributarios autonómicos</c:v>
              </c:pt>
              <c:pt idx="1">
                <c:v>Porcentaje part. ing. Estado</c:v>
              </c:pt>
              <c:pt idx="2">
                <c:v>Deuda Pública</c:v>
              </c:pt>
              <c:pt idx="3">
                <c:v>Otros</c:v>
              </c:pt>
            </c:strLit>
          </c:cat>
          <c:val>
            <c:numLit>
              <c:formatCode>General</c:formatCode>
              <c:ptCount val="4"/>
              <c:pt idx="0">
                <c:v>0.55100000000000005</c:v>
              </c:pt>
              <c:pt idx="1">
                <c:v>0.254</c:v>
              </c:pt>
              <c:pt idx="2">
                <c:v>7.5999999999999901E-2</c:v>
              </c:pt>
              <c:pt idx="3">
                <c:v>0.118999999999999</c:v>
              </c:pt>
            </c:numLit>
          </c:val>
          <c:extLst>
            <c:ext xmlns:c16="http://schemas.microsoft.com/office/drawing/2014/chart" uri="{C3380CC4-5D6E-409C-BE32-E72D297353CC}">
              <c16:uniqueId val="{00000003-E041-4169-9544-8FECF14758F1}"/>
            </c:ext>
          </c:extLst>
        </c:ser>
        <c:dLbls>
          <c:showLegendKey val="0"/>
          <c:showVal val="0"/>
          <c:showCatName val="0"/>
          <c:showSerName val="0"/>
          <c:showPercent val="1"/>
          <c:showBubbleSize val="0"/>
          <c:showLeaderLines val="0"/>
        </c:dLbls>
      </c:pie3DChart>
      <c:spPr>
        <a:noFill/>
        <a:ln w="25400">
          <a:noFill/>
        </a:ln>
      </c:spPr>
    </c:plotArea>
    <c:legend>
      <c:legendPos val="r"/>
      <c:overlay val="0"/>
      <c:spPr>
        <a:solidFill>
          <a:srgbClr val="FFFFFF"/>
        </a:solidFill>
        <a:ln w="3175">
          <a:solidFill>
            <a:srgbClr val="000000"/>
          </a:solidFill>
          <a:prstDash val="solid"/>
        </a:ln>
      </c:spPr>
      <c:txPr>
        <a:bodyPr/>
        <a:lstStyle/>
        <a:p>
          <a:pPr>
            <a:defRPr lang="es-ES" sz="735" b="0" i="0" u="none" strike="noStrike" baseline="0">
              <a:solidFill>
                <a:srgbClr val="000000"/>
              </a:solidFill>
              <a:latin typeface="Arial"/>
              <a:ea typeface="Arial"/>
              <a:cs typeface="Arial"/>
            </a:defRPr>
          </a:pPr>
          <a:endParaRPr lang="ca-ES"/>
        </a:p>
      </c:txPr>
    </c:legend>
    <c:plotVisOnly val="1"/>
    <c:dispBlanksAs val="zero"/>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oddHeader>&amp;A</c:oddHeader>
      <c:oddFooter>Página &amp;P</c:oddFooter>
    </c:headerFooter>
    <c:pageMargins b="1" l="0.75000000000001465" r="0.75000000000001465" t="1" header="0.511811024" footer="0.51181102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253170894216602"/>
          <c:y val="8.1818423941832766E-2"/>
          <c:w val="0.70759537405766149"/>
          <c:h val="0.77879018344634265"/>
        </c:manualLayout>
      </c:layout>
      <c:barChart>
        <c:barDir val="col"/>
        <c:grouping val="clustered"/>
        <c:varyColors val="0"/>
        <c:ser>
          <c:idx val="0"/>
          <c:order val="0"/>
          <c:tx>
            <c:strRef>
              <c:f>'OBLIGA.R. CORRENT-CAPITAL CAIB'!$A$9</c:f>
              <c:strCache>
                <c:ptCount val="1"/>
                <c:pt idx="0">
                  <c:v>D. CORRENT</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'OBLIGA.R. CORRENT-CAPITAL CAIB'!$N$7:$W$7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'OBLIGA.R. CORRENT-CAPITAL CAIB'!$N$9:$W$9</c:f>
              <c:numCache>
                <c:formatCode>#,##0.00</c:formatCode>
                <c:ptCount val="10"/>
                <c:pt idx="0">
                  <c:v>4586.9573306900002</c:v>
                </c:pt>
                <c:pt idx="1">
                  <c:v>2672.5099999999998</c:v>
                </c:pt>
                <c:pt idx="2">
                  <c:v>2775.96</c:v>
                </c:pt>
                <c:pt idx="3">
                  <c:v>2910.01</c:v>
                </c:pt>
                <c:pt idx="4">
                  <c:v>3013.38</c:v>
                </c:pt>
                <c:pt idx="5">
                  <c:v>3295.81</c:v>
                </c:pt>
                <c:pt idx="6">
                  <c:v>3456.3300000000004</c:v>
                </c:pt>
                <c:pt idx="7">
                  <c:v>3785.7700000000004</c:v>
                </c:pt>
                <c:pt idx="8">
                  <c:v>4064.89</c:v>
                </c:pt>
                <c:pt idx="9">
                  <c:v>4925.46</c:v>
                </c:pt>
              </c:numCache>
            </c:numRef>
          </c:val>
          <c:extLst>
            <c:ext xmlns:c16="http://schemas.microsoft.com/office/drawing/2014/chart" uri="{C3380CC4-5D6E-409C-BE32-E72D297353CC}">
              <c16:uniqueId val="{00000000-AF38-441D-B542-E5C3A3C473D2}"/>
            </c:ext>
          </c:extLst>
        </c:ser>
        <c:ser>
          <c:idx val="1"/>
          <c:order val="1"/>
          <c:tx>
            <c:strRef>
              <c:f>'OBLIGA.R. CORRENT-CAPITAL CAIB'!$A$10</c:f>
              <c:strCache>
                <c:ptCount val="1"/>
                <c:pt idx="0">
                  <c:v>D. CAPITAL</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'OBLIGA.R. CORRENT-CAPITAL CAIB'!$N$7:$W$7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'OBLIGA.R. CORRENT-CAPITAL CAIB'!$N$10:$W$10</c:f>
              <c:numCache>
                <c:formatCode>#,##0.00</c:formatCode>
                <c:ptCount val="10"/>
                <c:pt idx="0">
                  <c:v>390.84398783999995</c:v>
                </c:pt>
                <c:pt idx="1">
                  <c:v>421.96000000000004</c:v>
                </c:pt>
                <c:pt idx="2">
                  <c:v>406.86</c:v>
                </c:pt>
                <c:pt idx="3">
                  <c:v>440.56</c:v>
                </c:pt>
                <c:pt idx="4">
                  <c:v>450.40000000000003</c:v>
                </c:pt>
                <c:pt idx="5">
                  <c:v>581.54999999999995</c:v>
                </c:pt>
                <c:pt idx="6">
                  <c:v>663.7</c:v>
                </c:pt>
                <c:pt idx="7">
                  <c:v>624.82000000000005</c:v>
                </c:pt>
                <c:pt idx="8">
                  <c:v>574.07000000000005</c:v>
                </c:pt>
                <c:pt idx="9">
                  <c:v>584.99</c:v>
                </c:pt>
              </c:numCache>
            </c:numRef>
          </c:val>
          <c:extLst>
            <c:ext xmlns:c16="http://schemas.microsoft.com/office/drawing/2014/chart" uri="{C3380CC4-5D6E-409C-BE32-E72D297353CC}">
              <c16:uniqueId val="{00000001-AF38-441D-B542-E5C3A3C473D2}"/>
            </c:ext>
          </c:extLst>
        </c:ser>
        <c:ser>
          <c:idx val="2"/>
          <c:order val="2"/>
          <c:tx>
            <c:strRef>
              <c:f>'OBLIGA.R. CORRENT-CAPITAL CAIB'!$A$11</c:f>
              <c:strCache>
                <c:ptCount val="1"/>
                <c:pt idx="0">
                  <c:v>D. FINANCERA</c:v>
                </c:pt>
              </c:strCache>
            </c:strRef>
          </c:tx>
          <c:spPr>
            <a:gradFill rotWithShape="0">
              <a:gsLst>
                <a:gs pos="0">
                  <a:srgbClr val="FFCC00">
                    <a:gamma/>
                    <a:shade val="46275"/>
                    <a:invGamma/>
                  </a:srgbClr>
                </a:gs>
                <a:gs pos="50000">
                  <a:srgbClr val="FFCC00"/>
                </a:gs>
                <a:gs pos="100000">
                  <a:srgbClr val="FFCC00">
                    <a:gamma/>
                    <a:shade val="46275"/>
                    <a:invGamma/>
                  </a:srgbClr>
                </a:gs>
              </a:gsLst>
              <a:lin ang="0" scaled="1"/>
            </a:gradFill>
            <a:ln w="12700">
              <a:solidFill>
                <a:srgbClr val="000000"/>
              </a:solidFill>
              <a:prstDash val="solid"/>
            </a:ln>
          </c:spPr>
          <c:invertIfNegative val="0"/>
          <c:cat>
            <c:numRef>
              <c:f>'OBLIGA.R. CORRENT-CAPITAL CAIB'!$N$7:$W$7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'OBLIGA.R. CORRENT-CAPITAL CAIB'!$N$11:$W$11</c:f>
              <c:numCache>
                <c:formatCode>#,##0.00</c:formatCode>
                <c:ptCount val="10"/>
                <c:pt idx="0">
                  <c:v>650.52305705000003</c:v>
                </c:pt>
                <c:pt idx="1">
                  <c:v>485.45</c:v>
                </c:pt>
                <c:pt idx="2">
                  <c:v>1003.6600000000001</c:v>
                </c:pt>
                <c:pt idx="3">
                  <c:v>647.79</c:v>
                </c:pt>
                <c:pt idx="4">
                  <c:v>843.49</c:v>
                </c:pt>
                <c:pt idx="5">
                  <c:v>820.58</c:v>
                </c:pt>
                <c:pt idx="6">
                  <c:v>901.39</c:v>
                </c:pt>
                <c:pt idx="7">
                  <c:v>1019.09</c:v>
                </c:pt>
                <c:pt idx="8">
                  <c:v>1507.14</c:v>
                </c:pt>
                <c:pt idx="9">
                  <c:v>1195.57</c:v>
                </c:pt>
              </c:numCache>
            </c:numRef>
          </c:val>
          <c:extLst>
            <c:ext xmlns:c16="http://schemas.microsoft.com/office/drawing/2014/chart" uri="{C3380CC4-5D6E-409C-BE32-E72D297353CC}">
              <c16:uniqueId val="{00000002-AF38-441D-B542-E5C3A3C473D2}"/>
            </c:ext>
          </c:extLst>
        </c:ser>
        <c:dLbls>
          <c:showLegendKey val="0"/>
          <c:showVal val="0"/>
          <c:showCatName val="0"/>
          <c:showSerName val="0"/>
          <c:showPercent val="0"/>
          <c:showBubbleSize val="0"/>
        </c:dLbls>
        <c:gapWidth val="18"/>
        <c:axId val="109518848"/>
        <c:axId val="109520384"/>
      </c:barChart>
      <c:catAx>
        <c:axId val="1095188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Times New Roman"/>
              </a:defRPr>
            </a:pPr>
            <a:endParaRPr lang="ca-ES"/>
          </a:p>
        </c:txPr>
        <c:crossAx val="109520384"/>
        <c:crosses val="autoZero"/>
        <c:auto val="1"/>
        <c:lblAlgn val="ctr"/>
        <c:lblOffset val="100"/>
        <c:tickLblSkip val="1"/>
        <c:tickMarkSkip val="1"/>
        <c:noMultiLvlLbl val="0"/>
      </c:catAx>
      <c:valAx>
        <c:axId val="109520384"/>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000" b="0" i="0" u="none" strike="noStrike" baseline="0">
                <a:solidFill>
                  <a:srgbClr val="000000"/>
                </a:solidFill>
                <a:latin typeface="Arial" pitchFamily="34" charset="0"/>
                <a:ea typeface="Times New Roman"/>
                <a:cs typeface="Times New Roman"/>
              </a:defRPr>
            </a:pPr>
            <a:endParaRPr lang="ca-ES"/>
          </a:p>
        </c:txPr>
        <c:crossAx val="109518848"/>
        <c:crosses val="autoZero"/>
        <c:crossBetween val="between"/>
        <c:majorUnit val="500"/>
        <c:minorUnit val="9.6326103944490047"/>
      </c:valAx>
      <c:spPr>
        <a:solidFill>
          <a:schemeClr val="bg2"/>
        </a:solidFill>
        <a:ln w="12700">
          <a:solidFill>
            <a:srgbClr val="808080"/>
          </a:solidFill>
          <a:prstDash val="solid"/>
        </a:ln>
      </c:spPr>
    </c:plotArea>
    <c:legend>
      <c:legendPos val="r"/>
      <c:layout>
        <c:manualLayout>
          <c:xMode val="edge"/>
          <c:yMode val="edge"/>
          <c:x val="0.83212626644164767"/>
          <c:y val="0.43258930338625873"/>
          <c:w val="0.15866771967693191"/>
          <c:h val="0.42627483696349888"/>
        </c:manualLayout>
      </c:layout>
      <c:overlay val="0"/>
      <c:spPr>
        <a:solidFill>
          <a:srgbClr val="FFFFFF"/>
        </a:solidFill>
        <a:ln w="3175">
          <a:solidFill>
            <a:srgbClr val="000000"/>
          </a:solidFill>
          <a:prstDash val="solid"/>
        </a:ln>
      </c:spPr>
      <c:txPr>
        <a:bodyPr/>
        <a:lstStyle/>
        <a:p>
          <a:pPr>
            <a:defRPr lang="es-ES" sz="900"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solidFill>
      <a:schemeClr val="accent5">
        <a:lumMod val="20000"/>
        <a:lumOff val="80000"/>
      </a:schemeClr>
    </a:solidFill>
    <a:ln w="3175">
      <a:noFill/>
      <a:prstDash val="solid"/>
    </a:ln>
  </c:spPr>
  <c:txPr>
    <a:bodyPr/>
    <a:lstStyle/>
    <a:p>
      <a:pPr>
        <a:defRPr sz="165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Arial"/>
                <a:ea typeface="Arial"/>
                <a:cs typeface="Arial"/>
              </a:defRPr>
            </a:pPr>
            <a:r>
              <a:rPr lang="es-ES"/>
              <a:t>GESTIONATS PER L'ESTAT</a:t>
            </a:r>
            <a:r>
              <a:rPr lang="es-ES" baseline="0"/>
              <a:t> </a:t>
            </a:r>
            <a:endParaRPr lang="es-ES"/>
          </a:p>
        </c:rich>
      </c:tx>
      <c:layout>
        <c:manualLayout>
          <c:xMode val="edge"/>
          <c:yMode val="edge"/>
          <c:x val="0.2440085477332429"/>
          <c:y val="0.1043740645650522"/>
        </c:manualLayout>
      </c:layout>
      <c:overlay val="0"/>
      <c:spPr>
        <a:noFill/>
        <a:ln w="25400">
          <a:noFill/>
        </a:ln>
      </c:spPr>
    </c:title>
    <c:autoTitleDeleted val="0"/>
    <c:plotArea>
      <c:layout>
        <c:manualLayout>
          <c:layoutTarget val="inner"/>
          <c:xMode val="edge"/>
          <c:yMode val="edge"/>
          <c:x val="9.6495624804540492E-2"/>
          <c:y val="0.24187768268713841"/>
          <c:w val="0.72183313103601998"/>
          <c:h val="0.62454983738622172"/>
        </c:manualLayout>
      </c:layout>
      <c:barChart>
        <c:barDir val="col"/>
        <c:grouping val="clustered"/>
        <c:varyColors val="0"/>
        <c:ser>
          <c:idx val="0"/>
          <c:order val="0"/>
          <c:tx>
            <c:strRef>
              <c:f>'INGRESSOS TRIBUTS CEDITS CAIB '!$B$8</c:f>
              <c:strCache>
                <c:ptCount val="1"/>
                <c:pt idx="0">
                  <c:v>CRED. DEFINITIU</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'INGRESSOS TRIBUTS CEDITS CAIB '!$A$20:$A$31</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'INGRESSOS TRIBUTS CEDITS CAIB '!$B$20:$B$31</c:f>
              <c:numCache>
                <c:formatCode>#,##0.00</c:formatCode>
                <c:ptCount val="10"/>
                <c:pt idx="0">
                  <c:v>2497.71</c:v>
                </c:pt>
                <c:pt idx="1">
                  <c:v>2428.2199999999998</c:v>
                </c:pt>
                <c:pt idx="2">
                  <c:v>2279.6</c:v>
                </c:pt>
                <c:pt idx="3">
                  <c:v>2422.42</c:v>
                </c:pt>
                <c:pt idx="4">
                  <c:v>2437.35</c:v>
                </c:pt>
                <c:pt idx="5">
                  <c:v>2512.75</c:v>
                </c:pt>
                <c:pt idx="6">
                  <c:v>2860.27</c:v>
                </c:pt>
                <c:pt idx="7">
                  <c:v>3409.34</c:v>
                </c:pt>
                <c:pt idx="8">
                  <c:v>3594.56</c:v>
                </c:pt>
                <c:pt idx="9">
                  <c:v>3443.94</c:v>
                </c:pt>
              </c:numCache>
            </c:numRef>
          </c:val>
          <c:extLst>
            <c:ext xmlns:c16="http://schemas.microsoft.com/office/drawing/2014/chart" uri="{C3380CC4-5D6E-409C-BE32-E72D297353CC}">
              <c16:uniqueId val="{00000000-0653-4E0B-83DC-948BE0F2F7ED}"/>
            </c:ext>
          </c:extLst>
        </c:ser>
        <c:ser>
          <c:idx val="1"/>
          <c:order val="1"/>
          <c:tx>
            <c:strRef>
              <c:f>'INGRESSOS TRIBUTS CEDITS CAIB '!$C$8</c:f>
              <c:strCache>
                <c:ptCount val="1"/>
                <c:pt idx="0">
                  <c:v>DRETS RECON.</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'INGRESSOS TRIBUTS CEDITS CAIB '!$A$20:$A$31</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'INGRESSOS TRIBUTS CEDITS CAIB '!$C$20:$C$31</c:f>
              <c:numCache>
                <c:formatCode>#,##0.00</c:formatCode>
                <c:ptCount val="10"/>
                <c:pt idx="0">
                  <c:v>2888.42</c:v>
                </c:pt>
                <c:pt idx="1">
                  <c:v>2260.64</c:v>
                </c:pt>
                <c:pt idx="2">
                  <c:v>2334.9299999999998</c:v>
                </c:pt>
                <c:pt idx="3">
                  <c:v>2362.15</c:v>
                </c:pt>
                <c:pt idx="4">
                  <c:v>2448.19</c:v>
                </c:pt>
                <c:pt idx="5">
                  <c:v>2726.81</c:v>
                </c:pt>
                <c:pt idx="6">
                  <c:v>3185.13</c:v>
                </c:pt>
                <c:pt idx="7">
                  <c:v>3324.5</c:v>
                </c:pt>
                <c:pt idx="8">
                  <c:v>3587.41</c:v>
                </c:pt>
                <c:pt idx="9">
                  <c:v>3477.27</c:v>
                </c:pt>
              </c:numCache>
            </c:numRef>
          </c:val>
          <c:extLst>
            <c:ext xmlns:c16="http://schemas.microsoft.com/office/drawing/2014/chart" uri="{C3380CC4-5D6E-409C-BE32-E72D297353CC}">
              <c16:uniqueId val="{00000001-0653-4E0B-83DC-948BE0F2F7ED}"/>
            </c:ext>
          </c:extLst>
        </c:ser>
        <c:dLbls>
          <c:showLegendKey val="0"/>
          <c:showVal val="0"/>
          <c:showCatName val="0"/>
          <c:showSerName val="0"/>
          <c:showPercent val="0"/>
          <c:showBubbleSize val="0"/>
        </c:dLbls>
        <c:gapWidth val="60"/>
        <c:axId val="110181376"/>
        <c:axId val="110195456"/>
      </c:barChart>
      <c:catAx>
        <c:axId val="1101813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50" b="1" i="0" u="none" strike="noStrike" baseline="0">
                <a:solidFill>
                  <a:srgbClr val="000000"/>
                </a:solidFill>
                <a:latin typeface="Arial"/>
                <a:ea typeface="Arial"/>
                <a:cs typeface="Arial"/>
              </a:defRPr>
            </a:pPr>
            <a:endParaRPr lang="ca-ES"/>
          </a:p>
        </c:txPr>
        <c:crossAx val="110195456"/>
        <c:crosses val="autoZero"/>
        <c:auto val="1"/>
        <c:lblAlgn val="ctr"/>
        <c:lblOffset val="100"/>
        <c:tickLblSkip val="1"/>
        <c:tickMarkSkip val="1"/>
        <c:noMultiLvlLbl val="0"/>
      </c:catAx>
      <c:valAx>
        <c:axId val="110195456"/>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650" b="1" i="0" u="none" strike="noStrike" baseline="0">
                <a:solidFill>
                  <a:srgbClr val="000000"/>
                </a:solidFill>
                <a:latin typeface="Arial"/>
                <a:ea typeface="Arial"/>
                <a:cs typeface="Arial"/>
              </a:defRPr>
            </a:pPr>
            <a:endParaRPr lang="ca-ES"/>
          </a:p>
        </c:txPr>
        <c:crossAx val="110181376"/>
        <c:crosses val="autoZero"/>
        <c:crossBetween val="between"/>
      </c:valAx>
      <c:spPr>
        <a:solidFill>
          <a:schemeClr val="bg2"/>
        </a:solidFill>
        <a:ln w="12700">
          <a:solidFill>
            <a:srgbClr val="808080"/>
          </a:solidFill>
          <a:prstDash val="solid"/>
        </a:ln>
      </c:spPr>
    </c:plotArea>
    <c:legend>
      <c:legendPos val="r"/>
      <c:layout>
        <c:manualLayout>
          <c:xMode val="edge"/>
          <c:yMode val="edge"/>
          <c:x val="0.82643165907403904"/>
          <c:y val="0.44043397102438031"/>
          <c:w val="0.15581876664677521"/>
          <c:h val="0.28158882666743124"/>
        </c:manualLayout>
      </c:layout>
      <c:overlay val="0"/>
      <c:spPr>
        <a:solidFill>
          <a:srgbClr val="FFFFFF"/>
        </a:solidFill>
        <a:ln w="3175">
          <a:solidFill>
            <a:srgbClr val="000000"/>
          </a:solidFill>
          <a:prstDash val="solid"/>
        </a:ln>
      </c:spPr>
      <c:txPr>
        <a:bodyPr/>
        <a:lstStyle/>
        <a:p>
          <a:pPr>
            <a:defRPr lang="es-ES" sz="735"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0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Arial"/>
                <a:ea typeface="Arial"/>
                <a:cs typeface="Arial"/>
              </a:defRPr>
            </a:pPr>
            <a:r>
              <a:rPr lang="es-ES"/>
              <a:t>GESTIONATS PER LA CAIB</a:t>
            </a:r>
          </a:p>
        </c:rich>
      </c:tx>
      <c:layout>
        <c:manualLayout>
          <c:xMode val="edge"/>
          <c:yMode val="edge"/>
          <c:x val="0.2891344206974128"/>
          <c:y val="0.1204345760273335"/>
        </c:manualLayout>
      </c:layout>
      <c:overlay val="0"/>
      <c:spPr>
        <a:noFill/>
        <a:ln w="25400">
          <a:noFill/>
        </a:ln>
      </c:spPr>
    </c:title>
    <c:autoTitleDeleted val="0"/>
    <c:plotArea>
      <c:layout>
        <c:manualLayout>
          <c:layoutTarget val="inner"/>
          <c:xMode val="edge"/>
          <c:yMode val="edge"/>
          <c:x val="9.0239572973450727E-2"/>
          <c:y val="0.24014420973415701"/>
          <c:w val="0.73849119923169804"/>
          <c:h val="0.62724233885787362"/>
        </c:manualLayout>
      </c:layout>
      <c:barChart>
        <c:barDir val="col"/>
        <c:grouping val="clustered"/>
        <c:varyColors val="0"/>
        <c:ser>
          <c:idx val="0"/>
          <c:order val="0"/>
          <c:tx>
            <c:strRef>
              <c:f>'INGRESSOS TRIBUTS CEDITS CAIB '!$F$8</c:f>
              <c:strCache>
                <c:ptCount val="1"/>
                <c:pt idx="0">
                  <c:v>CRED. DEFINITIU</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'INGRESSOS TRIBUTS CEDITS CAIB '!$A$20:$A$31</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'INGRESSOS TRIBUTS CEDITS CAIB '!$F$20:$F$31</c:f>
              <c:numCache>
                <c:formatCode>#,##0.00_ ;\-#,##0.00\ </c:formatCode>
                <c:ptCount val="10"/>
                <c:pt idx="0">
                  <c:v>349.07</c:v>
                </c:pt>
                <c:pt idx="1">
                  <c:v>451.97999999999996</c:v>
                </c:pt>
                <c:pt idx="2">
                  <c:v>515.91999999999996</c:v>
                </c:pt>
                <c:pt idx="3">
                  <c:v>496.72</c:v>
                </c:pt>
                <c:pt idx="4">
                  <c:v>608</c:v>
                </c:pt>
                <c:pt idx="5">
                  <c:v>646.91999999999996</c:v>
                </c:pt>
                <c:pt idx="6">
                  <c:v>766.43</c:v>
                </c:pt>
                <c:pt idx="7">
                  <c:v>841.37</c:v>
                </c:pt>
                <c:pt idx="8">
                  <c:v>756.41</c:v>
                </c:pt>
                <c:pt idx="9">
                  <c:v>559.80999999999995</c:v>
                </c:pt>
              </c:numCache>
            </c:numRef>
          </c:val>
          <c:extLst>
            <c:ext xmlns:c16="http://schemas.microsoft.com/office/drawing/2014/chart" uri="{C3380CC4-5D6E-409C-BE32-E72D297353CC}">
              <c16:uniqueId val="{00000000-3DF2-4E62-A439-65F30CDBE480}"/>
            </c:ext>
          </c:extLst>
        </c:ser>
        <c:ser>
          <c:idx val="1"/>
          <c:order val="1"/>
          <c:tx>
            <c:strRef>
              <c:f>'INGRESSOS TRIBUTS CEDITS CAIB '!$G$8</c:f>
              <c:strCache>
                <c:ptCount val="1"/>
                <c:pt idx="0">
                  <c:v>DRETS RECON.</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'INGRESSOS TRIBUTS CEDITS CAIB '!$A$20:$A$31</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'INGRESSOS TRIBUTS CEDITS CAIB '!$G$20:$G$31</c:f>
              <c:numCache>
                <c:formatCode>#,##0.00</c:formatCode>
                <c:ptCount val="10"/>
                <c:pt idx="0">
                  <c:v>372.62</c:v>
                </c:pt>
                <c:pt idx="1">
                  <c:v>395.32</c:v>
                </c:pt>
                <c:pt idx="2">
                  <c:v>559.57999999999993</c:v>
                </c:pt>
                <c:pt idx="3">
                  <c:v>584.34</c:v>
                </c:pt>
                <c:pt idx="4">
                  <c:v>666.87</c:v>
                </c:pt>
                <c:pt idx="5">
                  <c:v>762.99</c:v>
                </c:pt>
                <c:pt idx="6">
                  <c:v>785.97</c:v>
                </c:pt>
                <c:pt idx="7">
                  <c:v>719.04</c:v>
                </c:pt>
                <c:pt idx="8">
                  <c:v>651.52</c:v>
                </c:pt>
                <c:pt idx="9">
                  <c:v>997.83</c:v>
                </c:pt>
              </c:numCache>
            </c:numRef>
          </c:val>
          <c:extLst>
            <c:ext xmlns:c16="http://schemas.microsoft.com/office/drawing/2014/chart" uri="{C3380CC4-5D6E-409C-BE32-E72D297353CC}">
              <c16:uniqueId val="{00000001-3DF2-4E62-A439-65F30CDBE480}"/>
            </c:ext>
          </c:extLst>
        </c:ser>
        <c:dLbls>
          <c:showLegendKey val="0"/>
          <c:showVal val="0"/>
          <c:showCatName val="0"/>
          <c:showSerName val="0"/>
          <c:showPercent val="0"/>
          <c:showBubbleSize val="0"/>
        </c:dLbls>
        <c:gapWidth val="60"/>
        <c:axId val="110225280"/>
        <c:axId val="110226816"/>
      </c:barChart>
      <c:catAx>
        <c:axId val="1102252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700" b="1" i="0" u="none" strike="noStrike" baseline="0">
                <a:solidFill>
                  <a:srgbClr val="000000"/>
                </a:solidFill>
                <a:latin typeface="Arial"/>
                <a:ea typeface="Arial"/>
                <a:cs typeface="Arial"/>
              </a:defRPr>
            </a:pPr>
            <a:endParaRPr lang="ca-ES"/>
          </a:p>
        </c:txPr>
        <c:crossAx val="110226816"/>
        <c:crosses val="autoZero"/>
        <c:auto val="1"/>
        <c:lblAlgn val="ctr"/>
        <c:lblOffset val="100"/>
        <c:tickLblSkip val="1"/>
        <c:tickMarkSkip val="1"/>
        <c:noMultiLvlLbl val="0"/>
      </c:catAx>
      <c:valAx>
        <c:axId val="110226816"/>
        <c:scaling>
          <c:orientation val="minMax"/>
          <c:max val="2000"/>
        </c:scaling>
        <c:delete val="0"/>
        <c:axPos val="l"/>
        <c:majorGridlines>
          <c:spPr>
            <a:ln w="3175">
              <a:solidFill>
                <a:srgbClr val="000000"/>
              </a:solidFill>
              <a:prstDash val="solid"/>
            </a:ln>
          </c:spPr>
        </c:majorGridlines>
        <c:numFmt formatCode="#,##0.00_ ;\-#,##0.00\ " sourceLinked="1"/>
        <c:majorTickMark val="out"/>
        <c:minorTickMark val="none"/>
        <c:tickLblPos val="nextTo"/>
        <c:spPr>
          <a:ln w="3175">
            <a:solidFill>
              <a:srgbClr val="000000"/>
            </a:solidFill>
            <a:prstDash val="solid"/>
          </a:ln>
        </c:spPr>
        <c:txPr>
          <a:bodyPr rot="0" vert="horz"/>
          <a:lstStyle/>
          <a:p>
            <a:pPr>
              <a:defRPr sz="700" b="1" i="0" u="none" strike="noStrike" baseline="0">
                <a:solidFill>
                  <a:srgbClr val="000000"/>
                </a:solidFill>
                <a:latin typeface="Arial"/>
                <a:ea typeface="Arial"/>
                <a:cs typeface="Arial"/>
              </a:defRPr>
            </a:pPr>
            <a:endParaRPr lang="ca-ES"/>
          </a:p>
        </c:txPr>
        <c:crossAx val="110225280"/>
        <c:crosses val="autoZero"/>
        <c:crossBetween val="between"/>
      </c:valAx>
      <c:spPr>
        <a:solidFill>
          <a:schemeClr val="bg2"/>
        </a:solidFill>
        <a:ln w="12700">
          <a:solidFill>
            <a:srgbClr val="808080"/>
          </a:solidFill>
          <a:prstDash val="solid"/>
        </a:ln>
      </c:spPr>
    </c:plotArea>
    <c:legend>
      <c:legendPos val="r"/>
      <c:layout>
        <c:manualLayout>
          <c:xMode val="edge"/>
          <c:yMode val="edge"/>
          <c:x val="0.84530523333384355"/>
          <c:y val="0.44086172024195902"/>
          <c:w val="0.14548813560966894"/>
          <c:h val="0.27957102136427364"/>
        </c:manualLayout>
      </c:layout>
      <c:overlay val="0"/>
      <c:spPr>
        <a:solidFill>
          <a:srgbClr val="FFFFFF"/>
        </a:solidFill>
        <a:ln w="3175">
          <a:solidFill>
            <a:srgbClr val="000000"/>
          </a:solidFill>
          <a:prstDash val="solid"/>
        </a:ln>
      </c:spPr>
      <c:txPr>
        <a:bodyPr/>
        <a:lstStyle/>
        <a:p>
          <a:pPr>
            <a:defRPr lang="es-ES" sz="735"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0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75" b="1" i="0" u="none" strike="noStrike" baseline="0">
                <a:solidFill>
                  <a:srgbClr val="000080"/>
                </a:solidFill>
                <a:latin typeface="Arial"/>
                <a:ea typeface="Arial"/>
                <a:cs typeface="Arial"/>
              </a:defRPr>
            </a:pPr>
            <a:r>
              <a:rPr lang="es-ES"/>
              <a:t>DESPESA</a:t>
            </a:r>
            <a:r>
              <a:rPr lang="es-ES" baseline="0"/>
              <a:t> </a:t>
            </a:r>
            <a:r>
              <a:rPr lang="es-ES"/>
              <a:t>OBLIGATORIA + CÀRREGA FINANCERA</a:t>
            </a:r>
          </a:p>
        </c:rich>
      </c:tx>
      <c:layout>
        <c:manualLayout>
          <c:xMode val="edge"/>
          <c:yMode val="edge"/>
          <c:x val="0.2900962346140003"/>
          <c:y val="5.0029717512680462E-2"/>
        </c:manualLayout>
      </c:layout>
      <c:overlay val="0"/>
      <c:spPr>
        <a:solidFill>
          <a:srgbClr val="FFFFFF"/>
        </a:solidFill>
        <a:ln w="3175">
          <a:solidFill>
            <a:srgbClr val="000000"/>
          </a:solidFill>
          <a:prstDash val="solid"/>
        </a:ln>
      </c:spPr>
    </c:title>
    <c:autoTitleDeleted val="0"/>
    <c:plotArea>
      <c:layout>
        <c:manualLayout>
          <c:layoutTarget val="inner"/>
          <c:xMode val="edge"/>
          <c:yMode val="edge"/>
          <c:x val="0.16018674683699141"/>
          <c:y val="0.18012449674352304"/>
          <c:w val="0.75583261128912571"/>
          <c:h val="0.66770287585961263"/>
        </c:manualLayout>
      </c:layout>
      <c:barChart>
        <c:barDir val="col"/>
        <c:grouping val="clustered"/>
        <c:varyColors val="0"/>
        <c:ser>
          <c:idx val="0"/>
          <c:order val="0"/>
          <c:tx>
            <c:strRef>
              <c:f>'DESPESA OBLIGATORIA CAIB'!$A$20</c:f>
              <c:strCache>
                <c:ptCount val="1"/>
                <c:pt idx="0">
                  <c:v>Desp. Obl.+ Càrrega Fin.</c:v>
                </c:pt>
              </c:strCache>
            </c:strRef>
          </c:tx>
          <c:spPr>
            <a:gradFill>
              <a:gsLst>
                <a:gs pos="0">
                  <a:srgbClr val="3366FF">
                    <a:gamma/>
                    <a:shade val="60392"/>
                    <a:invGamma/>
                  </a:srgbClr>
                </a:gs>
                <a:gs pos="50000">
                  <a:srgbClr val="3366FF"/>
                </a:gs>
                <a:gs pos="100000">
                  <a:srgbClr val="3366FF">
                    <a:gamma/>
                    <a:shade val="60392"/>
                    <a:invGamma/>
                  </a:srgbClr>
                </a:gs>
              </a:gsLst>
              <a:lin ang="0" scaled="1"/>
            </a:gradFill>
            <a:ln w="12700">
              <a:solidFill>
                <a:schemeClr val="tx1"/>
              </a:solidFill>
              <a:prstDash val="solid"/>
            </a:ln>
            <a:scene3d>
              <a:camera prst="orthographicFront"/>
              <a:lightRig rig="threePt" dir="t"/>
            </a:scene3d>
            <a:sp3d prstMaterial="metal"/>
          </c:spPr>
          <c:invertIfNegative val="0"/>
          <c:cat>
            <c:numRef>
              <c:f>'DESPESA OBLIGATORIA CAIB'!$N$7:$W$7</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'DESPESA OBLIGATORIA CAIB'!$N$20:$W$20</c:f>
              <c:numCache>
                <c:formatCode>#,##0.00</c:formatCode>
                <c:ptCount val="10"/>
                <c:pt idx="0">
                  <c:v>5067.8551940200005</c:v>
                </c:pt>
                <c:pt idx="1">
                  <c:v>3157.96</c:v>
                </c:pt>
                <c:pt idx="2">
                  <c:v>3451.7000000000003</c:v>
                </c:pt>
                <c:pt idx="3">
                  <c:v>3411.7700000000004</c:v>
                </c:pt>
                <c:pt idx="4">
                  <c:v>3722.99</c:v>
                </c:pt>
                <c:pt idx="5">
                  <c:v>4100.7</c:v>
                </c:pt>
                <c:pt idx="6">
                  <c:v>4316.3900000000003</c:v>
                </c:pt>
                <c:pt idx="7">
                  <c:v>4773.79</c:v>
                </c:pt>
                <c:pt idx="8">
                  <c:v>5540.8099999999995</c:v>
                </c:pt>
                <c:pt idx="9">
                  <c:v>6089.45</c:v>
                </c:pt>
              </c:numCache>
            </c:numRef>
          </c:val>
          <c:extLst>
            <c:ext xmlns:c16="http://schemas.microsoft.com/office/drawing/2014/chart" uri="{C3380CC4-5D6E-409C-BE32-E72D297353CC}">
              <c16:uniqueId val="{00000000-3554-4B18-9984-04F16EC9C3E4}"/>
            </c:ext>
          </c:extLst>
        </c:ser>
        <c:dLbls>
          <c:showLegendKey val="0"/>
          <c:showVal val="0"/>
          <c:showCatName val="0"/>
          <c:showSerName val="0"/>
          <c:showPercent val="0"/>
          <c:showBubbleSize val="0"/>
        </c:dLbls>
        <c:gapWidth val="150"/>
        <c:axId val="111878528"/>
        <c:axId val="111880064"/>
      </c:barChart>
      <c:catAx>
        <c:axId val="1118785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Times New Roman"/>
              </a:defRPr>
            </a:pPr>
            <a:endParaRPr lang="ca-ES"/>
          </a:p>
        </c:txPr>
        <c:crossAx val="111880064"/>
        <c:crosses val="autoZero"/>
        <c:auto val="1"/>
        <c:lblAlgn val="ctr"/>
        <c:lblOffset val="100"/>
        <c:tickLblSkip val="1"/>
        <c:tickMarkSkip val="1"/>
        <c:noMultiLvlLbl val="0"/>
      </c:catAx>
      <c:valAx>
        <c:axId val="111880064"/>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100" b="1" i="0" u="none" strike="noStrike" baseline="0">
                <a:solidFill>
                  <a:srgbClr val="000000"/>
                </a:solidFill>
                <a:latin typeface="Arial" pitchFamily="34" charset="0"/>
                <a:ea typeface="Times New Roman"/>
                <a:cs typeface="Times New Roman"/>
              </a:defRPr>
            </a:pPr>
            <a:endParaRPr lang="ca-ES"/>
          </a:p>
        </c:txPr>
        <c:crossAx val="111878528"/>
        <c:crosses val="autoZero"/>
        <c:crossBetween val="between"/>
        <c:majorUnit val="500"/>
      </c:valAx>
      <c:spPr>
        <a:solidFill>
          <a:schemeClr val="bg2"/>
        </a:solidFill>
        <a:ln w="12700">
          <a:solidFill>
            <a:srgbClr val="808080"/>
          </a:solidFill>
          <a:prstDash val="solid"/>
        </a:ln>
      </c:spPr>
    </c:plotArea>
    <c:plotVisOnly val="1"/>
    <c:dispBlanksAs val="gap"/>
    <c:showDLblsOverMax val="0"/>
  </c:chart>
  <c:spPr>
    <a:gradFill>
      <a:gsLst>
        <a:gs pos="0">
          <a:srgbClr val="4BACC6">
            <a:lumMod val="20000"/>
            <a:lumOff val="80000"/>
          </a:srgbClr>
        </a:gs>
        <a:gs pos="50000">
          <a:srgbClr val="4F81BD">
            <a:tint val="44500"/>
            <a:satMod val="160000"/>
          </a:srgbClr>
        </a:gs>
        <a:gs pos="100000">
          <a:srgbClr val="4F81BD">
            <a:tint val="23500"/>
            <a:satMod val="160000"/>
          </a:srgbClr>
        </a:gs>
      </a:gsLst>
      <a:lin ang="5400000" scaled="0"/>
    </a:gradFill>
    <a:ln w="3175">
      <a:noFill/>
      <a:prstDash val="solid"/>
    </a:ln>
  </c:spPr>
  <c:txPr>
    <a:bodyPr/>
    <a:lstStyle/>
    <a:p>
      <a:pPr>
        <a:defRPr sz="16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4"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9.xml"/></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0.xml"/></Relationships>
</file>

<file path=xl/drawings/_rels/drawing1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2.xml"/><Relationship Id="rId1" Type="http://schemas.openxmlformats.org/officeDocument/2006/relationships/chart" Target="../charts/chart21.xml"/></Relationships>
</file>

<file path=xl/drawings/_rels/drawing1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4.xml"/><Relationship Id="rId1" Type="http://schemas.openxmlformats.org/officeDocument/2006/relationships/chart" Target="../charts/chart23.xml"/></Relationships>
</file>

<file path=xl/drawings/_rels/drawing1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6.xml"/><Relationship Id="rId1" Type="http://schemas.openxmlformats.org/officeDocument/2006/relationships/chart" Target="../charts/chart25.xml"/><Relationship Id="rId4" Type="http://schemas.openxmlformats.org/officeDocument/2006/relationships/chart" Target="../charts/chart27.xml"/></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8.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chart" Target="../charts/chart29.xml"/><Relationship Id="rId1" Type="http://schemas.openxmlformats.org/officeDocument/2006/relationships/image" Target="../media/image1.png"/><Relationship Id="rId4" Type="http://schemas.openxmlformats.org/officeDocument/2006/relationships/chart" Target="../charts/chart31.xml"/></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2.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34.xml"/><Relationship Id="rId2" Type="http://schemas.openxmlformats.org/officeDocument/2006/relationships/image" Target="../media/image1.png"/><Relationship Id="rId1" Type="http://schemas.openxmlformats.org/officeDocument/2006/relationships/chart" Target="../charts/chart33.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35.xml"/><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504825</xdr:colOff>
      <xdr:row>32</xdr:row>
      <xdr:rowOff>57149</xdr:rowOff>
    </xdr:from>
    <xdr:to>
      <xdr:col>5</xdr:col>
      <xdr:colOff>685800</xdr:colOff>
      <xdr:row>45</xdr:row>
      <xdr:rowOff>85724</xdr:rowOff>
    </xdr:to>
    <xdr:graphicFrame macro="">
      <xdr:nvGraphicFramePr>
        <xdr:cNvPr id="2138" name="Chart 1">
          <a:extLst>
            <a:ext uri="{FF2B5EF4-FFF2-40B4-BE49-F238E27FC236}">
              <a16:creationId xmlns:a16="http://schemas.microsoft.com/office/drawing/2014/main" id="{00000000-0008-0000-0000-00005A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368300</xdr:colOff>
      <xdr:row>5</xdr:row>
      <xdr:rowOff>88899</xdr:rowOff>
    </xdr:to>
    <xdr:pic>
      <xdr:nvPicPr>
        <xdr:cNvPr id="5" name="Imagen 4" descr="Logo Conselleria d'Hisenda i Relacions Exteriors COLOR">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2"/>
        <a:srcRect/>
        <a:stretch>
          <a:fillRect/>
        </a:stretch>
      </xdr:blipFill>
      <xdr:spPr bwMode="auto">
        <a:xfrm>
          <a:off x="0" y="0"/>
          <a:ext cx="1463675" cy="1231899"/>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1419224</xdr:colOff>
      <xdr:row>19</xdr:row>
      <xdr:rowOff>152400</xdr:rowOff>
    </xdr:from>
    <xdr:to>
      <xdr:col>20</xdr:col>
      <xdr:colOff>133350</xdr:colOff>
      <xdr:row>40</xdr:row>
      <xdr:rowOff>38100</xdr:rowOff>
    </xdr:to>
    <xdr:graphicFrame macro="">
      <xdr:nvGraphicFramePr>
        <xdr:cNvPr id="18522" name="Chart 1">
          <a:extLst>
            <a:ext uri="{FF2B5EF4-FFF2-40B4-BE49-F238E27FC236}">
              <a16:creationId xmlns:a16="http://schemas.microsoft.com/office/drawing/2014/main" id="{00000000-0008-0000-0900-00005A4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1290320</xdr:colOff>
      <xdr:row>5</xdr:row>
      <xdr:rowOff>10160</xdr:rowOff>
    </xdr:to>
    <xdr:pic>
      <xdr:nvPicPr>
        <xdr:cNvPr id="4" name="Imagen 3" descr="Logo Conselleria d'Hisenda i Relacions Exteriors COLOR">
          <a:extLst>
            <a:ext uri="{FF2B5EF4-FFF2-40B4-BE49-F238E27FC236}">
              <a16:creationId xmlns:a16="http://schemas.microsoft.com/office/drawing/2014/main" id="{00000000-0008-0000-0900-000004000000}"/>
            </a:ext>
          </a:extLst>
        </xdr:cNvPr>
        <xdr:cNvPicPr/>
      </xdr:nvPicPr>
      <xdr:blipFill>
        <a:blip xmlns:r="http://schemas.openxmlformats.org/officeDocument/2006/relationships" r:embed="rId2"/>
        <a:srcRect/>
        <a:stretch>
          <a:fillRect/>
        </a:stretch>
      </xdr:blipFill>
      <xdr:spPr bwMode="auto">
        <a:xfrm>
          <a:off x="0" y="0"/>
          <a:ext cx="1290320" cy="117856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22</xdr:row>
      <xdr:rowOff>0</xdr:rowOff>
    </xdr:from>
    <xdr:to>
      <xdr:col>0</xdr:col>
      <xdr:colOff>0</xdr:colOff>
      <xdr:row>22</xdr:row>
      <xdr:rowOff>0</xdr:rowOff>
    </xdr:to>
    <xdr:graphicFrame macro="">
      <xdr:nvGraphicFramePr>
        <xdr:cNvPr id="20748" name="Chart 1">
          <a:extLst>
            <a:ext uri="{FF2B5EF4-FFF2-40B4-BE49-F238E27FC236}">
              <a16:creationId xmlns:a16="http://schemas.microsoft.com/office/drawing/2014/main" id="{00000000-0008-0000-0A00-00000C5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22</xdr:row>
      <xdr:rowOff>0</xdr:rowOff>
    </xdr:from>
    <xdr:to>
      <xdr:col>0</xdr:col>
      <xdr:colOff>0</xdr:colOff>
      <xdr:row>22</xdr:row>
      <xdr:rowOff>0</xdr:rowOff>
    </xdr:to>
    <xdr:graphicFrame macro="">
      <xdr:nvGraphicFramePr>
        <xdr:cNvPr id="20749" name="Chart 2">
          <a:extLst>
            <a:ext uri="{FF2B5EF4-FFF2-40B4-BE49-F238E27FC236}">
              <a16:creationId xmlns:a16="http://schemas.microsoft.com/office/drawing/2014/main" id="{00000000-0008-0000-0A00-00000D5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1066799</xdr:colOff>
      <xdr:row>16</xdr:row>
      <xdr:rowOff>133350</xdr:rowOff>
    </xdr:from>
    <xdr:to>
      <xdr:col>21</xdr:col>
      <xdr:colOff>676275</xdr:colOff>
      <xdr:row>35</xdr:row>
      <xdr:rowOff>190499</xdr:rowOff>
    </xdr:to>
    <xdr:graphicFrame macro="">
      <xdr:nvGraphicFramePr>
        <xdr:cNvPr id="20750" name="Chart 3">
          <a:extLst>
            <a:ext uri="{FF2B5EF4-FFF2-40B4-BE49-F238E27FC236}">
              <a16:creationId xmlns:a16="http://schemas.microsoft.com/office/drawing/2014/main" id="{00000000-0008-0000-0A00-00000E5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0</xdr:colOff>
      <xdr:row>0</xdr:row>
      <xdr:rowOff>1</xdr:rowOff>
    </xdr:from>
    <xdr:to>
      <xdr:col>0</xdr:col>
      <xdr:colOff>1290320</xdr:colOff>
      <xdr:row>4</xdr:row>
      <xdr:rowOff>161926</xdr:rowOff>
    </xdr:to>
    <xdr:pic>
      <xdr:nvPicPr>
        <xdr:cNvPr id="7" name="Imagen 6" descr="Logo Conselleria d'Hisenda i Relacions Exteriors COLOR">
          <a:extLst>
            <a:ext uri="{FF2B5EF4-FFF2-40B4-BE49-F238E27FC236}">
              <a16:creationId xmlns:a16="http://schemas.microsoft.com/office/drawing/2014/main" id="{00000000-0008-0000-0A00-000007000000}"/>
            </a:ext>
          </a:extLst>
        </xdr:cNvPr>
        <xdr:cNvPicPr/>
      </xdr:nvPicPr>
      <xdr:blipFill>
        <a:blip xmlns:r="http://schemas.openxmlformats.org/officeDocument/2006/relationships" r:embed="rId4"/>
        <a:srcRect/>
        <a:stretch>
          <a:fillRect/>
        </a:stretch>
      </xdr:blipFill>
      <xdr:spPr bwMode="auto">
        <a:xfrm>
          <a:off x="0" y="1"/>
          <a:ext cx="1290320" cy="1104900"/>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19</xdr:row>
      <xdr:rowOff>0</xdr:rowOff>
    </xdr:from>
    <xdr:to>
      <xdr:col>0</xdr:col>
      <xdr:colOff>0</xdr:colOff>
      <xdr:row>19</xdr:row>
      <xdr:rowOff>0</xdr:rowOff>
    </xdr:to>
    <xdr:graphicFrame macro="">
      <xdr:nvGraphicFramePr>
        <xdr:cNvPr id="24844" name="Chart 1">
          <a:extLst>
            <a:ext uri="{FF2B5EF4-FFF2-40B4-BE49-F238E27FC236}">
              <a16:creationId xmlns:a16="http://schemas.microsoft.com/office/drawing/2014/main" id="{00000000-0008-0000-0B00-00000C6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19</xdr:row>
      <xdr:rowOff>0</xdr:rowOff>
    </xdr:from>
    <xdr:to>
      <xdr:col>0</xdr:col>
      <xdr:colOff>0</xdr:colOff>
      <xdr:row>19</xdr:row>
      <xdr:rowOff>0</xdr:rowOff>
    </xdr:to>
    <xdr:graphicFrame macro="">
      <xdr:nvGraphicFramePr>
        <xdr:cNvPr id="24845" name="Chart 2">
          <a:extLst>
            <a:ext uri="{FF2B5EF4-FFF2-40B4-BE49-F238E27FC236}">
              <a16:creationId xmlns:a16="http://schemas.microsoft.com/office/drawing/2014/main" id="{00000000-0008-0000-0B00-00000D6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1181097</xdr:colOff>
      <xdr:row>17</xdr:row>
      <xdr:rowOff>38099</xdr:rowOff>
    </xdr:from>
    <xdr:to>
      <xdr:col>21</xdr:col>
      <xdr:colOff>133349</xdr:colOff>
      <xdr:row>34</xdr:row>
      <xdr:rowOff>190498</xdr:rowOff>
    </xdr:to>
    <xdr:graphicFrame macro="">
      <xdr:nvGraphicFramePr>
        <xdr:cNvPr id="24846" name="Chart 3">
          <a:extLst>
            <a:ext uri="{FF2B5EF4-FFF2-40B4-BE49-F238E27FC236}">
              <a16:creationId xmlns:a16="http://schemas.microsoft.com/office/drawing/2014/main" id="{00000000-0008-0000-0B00-00000E6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1</xdr:rowOff>
    </xdr:from>
    <xdr:to>
      <xdr:col>0</xdr:col>
      <xdr:colOff>1290320</xdr:colOff>
      <xdr:row>4</xdr:row>
      <xdr:rowOff>76200</xdr:rowOff>
    </xdr:to>
    <xdr:pic>
      <xdr:nvPicPr>
        <xdr:cNvPr id="7" name="Imagen 6" descr="Logo Conselleria d'Hisenda i Relacions Exteriors COLOR">
          <a:extLst>
            <a:ext uri="{FF2B5EF4-FFF2-40B4-BE49-F238E27FC236}">
              <a16:creationId xmlns:a16="http://schemas.microsoft.com/office/drawing/2014/main" id="{00000000-0008-0000-0B00-000007000000}"/>
            </a:ext>
          </a:extLst>
        </xdr:cNvPr>
        <xdr:cNvPicPr/>
      </xdr:nvPicPr>
      <xdr:blipFill>
        <a:blip xmlns:r="http://schemas.openxmlformats.org/officeDocument/2006/relationships" r:embed="rId4"/>
        <a:srcRect/>
        <a:stretch>
          <a:fillRect/>
        </a:stretch>
      </xdr:blipFill>
      <xdr:spPr bwMode="auto">
        <a:xfrm>
          <a:off x="0" y="1"/>
          <a:ext cx="1290320" cy="1019174"/>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13</xdr:col>
      <xdr:colOff>800100</xdr:colOff>
      <xdr:row>11</xdr:row>
      <xdr:rowOff>76200</xdr:rowOff>
    </xdr:from>
    <xdr:to>
      <xdr:col>21</xdr:col>
      <xdr:colOff>781050</xdr:colOff>
      <xdr:row>29</xdr:row>
      <xdr:rowOff>123825</xdr:rowOff>
    </xdr:to>
    <xdr:graphicFrame macro="">
      <xdr:nvGraphicFramePr>
        <xdr:cNvPr id="28762" name="Chart 1">
          <a:extLst>
            <a:ext uri="{FF2B5EF4-FFF2-40B4-BE49-F238E27FC236}">
              <a16:creationId xmlns:a16="http://schemas.microsoft.com/office/drawing/2014/main" id="{00000000-0008-0000-0C00-00005A7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13</xdr:col>
      <xdr:colOff>972820</xdr:colOff>
      <xdr:row>4</xdr:row>
      <xdr:rowOff>142875</xdr:rowOff>
    </xdr:to>
    <xdr:pic>
      <xdr:nvPicPr>
        <xdr:cNvPr id="5" name="Imagen 4" descr="Logo Conselleria d'Hisenda i Relacions Exteriors COLOR">
          <a:extLst>
            <a:ext uri="{FF2B5EF4-FFF2-40B4-BE49-F238E27FC236}">
              <a16:creationId xmlns:a16="http://schemas.microsoft.com/office/drawing/2014/main" id="{00000000-0008-0000-0C00-000005000000}"/>
            </a:ext>
          </a:extLst>
        </xdr:cNvPr>
        <xdr:cNvPicPr/>
      </xdr:nvPicPr>
      <xdr:blipFill>
        <a:blip xmlns:r="http://schemas.openxmlformats.org/officeDocument/2006/relationships" r:embed="rId2"/>
        <a:srcRect/>
        <a:stretch>
          <a:fillRect/>
        </a:stretch>
      </xdr:blipFill>
      <xdr:spPr bwMode="auto">
        <a:xfrm>
          <a:off x="0" y="0"/>
          <a:ext cx="1287145" cy="1057275"/>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1200148</xdr:colOff>
      <xdr:row>13</xdr:row>
      <xdr:rowOff>0</xdr:rowOff>
    </xdr:from>
    <xdr:to>
      <xdr:col>21</xdr:col>
      <xdr:colOff>352425</xdr:colOff>
      <xdr:row>35</xdr:row>
      <xdr:rowOff>114300</xdr:rowOff>
    </xdr:to>
    <xdr:graphicFrame macro="">
      <xdr:nvGraphicFramePr>
        <xdr:cNvPr id="30810" name="Chart 1">
          <a:extLst>
            <a:ext uri="{FF2B5EF4-FFF2-40B4-BE49-F238E27FC236}">
              <a16:creationId xmlns:a16="http://schemas.microsoft.com/office/drawing/2014/main" id="{00000000-0008-0000-0D00-00005A7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1290320</xdr:colOff>
      <xdr:row>4</xdr:row>
      <xdr:rowOff>171450</xdr:rowOff>
    </xdr:to>
    <xdr:pic>
      <xdr:nvPicPr>
        <xdr:cNvPr id="5" name="Imagen 4" descr="Logo Conselleria d'Hisenda i Relacions Exteriors COLOR">
          <a:extLst>
            <a:ext uri="{FF2B5EF4-FFF2-40B4-BE49-F238E27FC236}">
              <a16:creationId xmlns:a16="http://schemas.microsoft.com/office/drawing/2014/main" id="{00000000-0008-0000-0D00-000005000000}"/>
            </a:ext>
          </a:extLst>
        </xdr:cNvPr>
        <xdr:cNvPicPr/>
      </xdr:nvPicPr>
      <xdr:blipFill>
        <a:blip xmlns:r="http://schemas.openxmlformats.org/officeDocument/2006/relationships" r:embed="rId2"/>
        <a:srcRect/>
        <a:stretch>
          <a:fillRect/>
        </a:stretch>
      </xdr:blipFill>
      <xdr:spPr bwMode="auto">
        <a:xfrm>
          <a:off x="0" y="0"/>
          <a:ext cx="1290320" cy="1085850"/>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1047750</xdr:colOff>
      <xdr:row>15</xdr:row>
      <xdr:rowOff>47625</xdr:rowOff>
    </xdr:from>
    <xdr:to>
      <xdr:col>21</xdr:col>
      <xdr:colOff>476250</xdr:colOff>
      <xdr:row>39</xdr:row>
      <xdr:rowOff>95250</xdr:rowOff>
    </xdr:to>
    <xdr:graphicFrame macro="">
      <xdr:nvGraphicFramePr>
        <xdr:cNvPr id="32858" name="Chart 1">
          <a:extLst>
            <a:ext uri="{FF2B5EF4-FFF2-40B4-BE49-F238E27FC236}">
              <a16:creationId xmlns:a16="http://schemas.microsoft.com/office/drawing/2014/main" id="{00000000-0008-0000-0E00-00005A8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1178560</xdr:colOff>
      <xdr:row>4</xdr:row>
      <xdr:rowOff>152400</xdr:rowOff>
    </xdr:to>
    <xdr:pic>
      <xdr:nvPicPr>
        <xdr:cNvPr id="5" name="Imagen 4" descr="Logo Conselleria d'Hisenda i Relacions Exteriors COLOR">
          <a:extLst>
            <a:ext uri="{FF2B5EF4-FFF2-40B4-BE49-F238E27FC236}">
              <a16:creationId xmlns:a16="http://schemas.microsoft.com/office/drawing/2014/main" id="{00000000-0008-0000-0E00-000005000000}"/>
            </a:ext>
          </a:extLst>
        </xdr:cNvPr>
        <xdr:cNvPicPr/>
      </xdr:nvPicPr>
      <xdr:blipFill>
        <a:blip xmlns:r="http://schemas.openxmlformats.org/officeDocument/2006/relationships" r:embed="rId2"/>
        <a:srcRect/>
        <a:stretch>
          <a:fillRect/>
        </a:stretch>
      </xdr:blipFill>
      <xdr:spPr bwMode="auto">
        <a:xfrm>
          <a:off x="0" y="0"/>
          <a:ext cx="1178560" cy="1117600"/>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17</xdr:row>
      <xdr:rowOff>9525</xdr:rowOff>
    </xdr:from>
    <xdr:to>
      <xdr:col>16</xdr:col>
      <xdr:colOff>352425</xdr:colOff>
      <xdr:row>34</xdr:row>
      <xdr:rowOff>95250</xdr:rowOff>
    </xdr:to>
    <xdr:graphicFrame macro="">
      <xdr:nvGraphicFramePr>
        <xdr:cNvPr id="35085" name="Chart 5">
          <a:extLst>
            <a:ext uri="{FF2B5EF4-FFF2-40B4-BE49-F238E27FC236}">
              <a16:creationId xmlns:a16="http://schemas.microsoft.com/office/drawing/2014/main" id="{00000000-0008-0000-0F00-00000D8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647700</xdr:colOff>
      <xdr:row>17</xdr:row>
      <xdr:rowOff>9525</xdr:rowOff>
    </xdr:from>
    <xdr:to>
      <xdr:col>22</xdr:col>
      <xdr:colOff>838200</xdr:colOff>
      <xdr:row>34</xdr:row>
      <xdr:rowOff>114300</xdr:rowOff>
    </xdr:to>
    <xdr:graphicFrame macro="">
      <xdr:nvGraphicFramePr>
        <xdr:cNvPr id="35086" name="Chart 6">
          <a:extLst>
            <a:ext uri="{FF2B5EF4-FFF2-40B4-BE49-F238E27FC236}">
              <a16:creationId xmlns:a16="http://schemas.microsoft.com/office/drawing/2014/main" id="{00000000-0008-0000-0F00-00000E8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1147482</xdr:colOff>
      <xdr:row>3</xdr:row>
      <xdr:rowOff>251012</xdr:rowOff>
    </xdr:to>
    <xdr:pic>
      <xdr:nvPicPr>
        <xdr:cNvPr id="7" name="Imagen 6" descr="Logo Conselleria d'Hisenda i Relacions Exteriors COLOR">
          <a:extLst>
            <a:ext uri="{FF2B5EF4-FFF2-40B4-BE49-F238E27FC236}">
              <a16:creationId xmlns:a16="http://schemas.microsoft.com/office/drawing/2014/main" id="{00000000-0008-0000-0F00-000007000000}"/>
            </a:ext>
          </a:extLst>
        </xdr:cNvPr>
        <xdr:cNvPicPr/>
      </xdr:nvPicPr>
      <xdr:blipFill>
        <a:blip xmlns:r="http://schemas.openxmlformats.org/officeDocument/2006/relationships" r:embed="rId3"/>
        <a:srcRect/>
        <a:stretch>
          <a:fillRect/>
        </a:stretch>
      </xdr:blipFill>
      <xdr:spPr bwMode="auto">
        <a:xfrm>
          <a:off x="0" y="0"/>
          <a:ext cx="1147482" cy="936812"/>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13334</xdr:colOff>
      <xdr:row>17</xdr:row>
      <xdr:rowOff>9525</xdr:rowOff>
    </xdr:from>
    <xdr:to>
      <xdr:col>16</xdr:col>
      <xdr:colOff>400050</xdr:colOff>
      <xdr:row>34</xdr:row>
      <xdr:rowOff>19050</xdr:rowOff>
    </xdr:to>
    <xdr:graphicFrame macro="">
      <xdr:nvGraphicFramePr>
        <xdr:cNvPr id="39181" name="Chart 4">
          <a:extLst>
            <a:ext uri="{FF2B5EF4-FFF2-40B4-BE49-F238E27FC236}">
              <a16:creationId xmlns:a16="http://schemas.microsoft.com/office/drawing/2014/main" id="{00000000-0008-0000-1000-00000D9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600076</xdr:colOff>
      <xdr:row>16</xdr:row>
      <xdr:rowOff>162560</xdr:rowOff>
    </xdr:from>
    <xdr:to>
      <xdr:col>23</xdr:col>
      <xdr:colOff>1</xdr:colOff>
      <xdr:row>34</xdr:row>
      <xdr:rowOff>9525</xdr:rowOff>
    </xdr:to>
    <xdr:graphicFrame macro="">
      <xdr:nvGraphicFramePr>
        <xdr:cNvPr id="39182" name="Chart 6">
          <a:extLst>
            <a:ext uri="{FF2B5EF4-FFF2-40B4-BE49-F238E27FC236}">
              <a16:creationId xmlns:a16="http://schemas.microsoft.com/office/drawing/2014/main" id="{00000000-0008-0000-1000-00000E9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1290320</xdr:colOff>
      <xdr:row>4</xdr:row>
      <xdr:rowOff>213360</xdr:rowOff>
    </xdr:to>
    <xdr:pic>
      <xdr:nvPicPr>
        <xdr:cNvPr id="7" name="Imagen 6" descr="Logo Conselleria d'Hisenda i Relacions Exteriors COLOR">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3"/>
        <a:srcRect/>
        <a:stretch>
          <a:fillRect/>
        </a:stretch>
      </xdr:blipFill>
      <xdr:spPr bwMode="auto">
        <a:xfrm>
          <a:off x="0" y="0"/>
          <a:ext cx="1290320" cy="1178560"/>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3177</xdr:colOff>
      <xdr:row>16</xdr:row>
      <xdr:rowOff>0</xdr:rowOff>
    </xdr:from>
    <xdr:to>
      <xdr:col>14</xdr:col>
      <xdr:colOff>133351</xdr:colOff>
      <xdr:row>30</xdr:row>
      <xdr:rowOff>0</xdr:rowOff>
    </xdr:to>
    <xdr:graphicFrame macro="">
      <xdr:nvGraphicFramePr>
        <xdr:cNvPr id="43277" name="Chart 4">
          <a:extLst>
            <a:ext uri="{FF2B5EF4-FFF2-40B4-BE49-F238E27FC236}">
              <a16:creationId xmlns:a16="http://schemas.microsoft.com/office/drawing/2014/main" id="{00000000-0008-0000-1100-00000DA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723900</xdr:colOff>
      <xdr:row>16</xdr:row>
      <xdr:rowOff>0</xdr:rowOff>
    </xdr:from>
    <xdr:to>
      <xdr:col>22</xdr:col>
      <xdr:colOff>857248</xdr:colOff>
      <xdr:row>30</xdr:row>
      <xdr:rowOff>38100</xdr:rowOff>
    </xdr:to>
    <xdr:graphicFrame macro="">
      <xdr:nvGraphicFramePr>
        <xdr:cNvPr id="43278" name="Chart 5">
          <a:extLst>
            <a:ext uri="{FF2B5EF4-FFF2-40B4-BE49-F238E27FC236}">
              <a16:creationId xmlns:a16="http://schemas.microsoft.com/office/drawing/2014/main" id="{00000000-0008-0000-1100-00000EA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1290320</xdr:colOff>
      <xdr:row>5</xdr:row>
      <xdr:rowOff>10160</xdr:rowOff>
    </xdr:to>
    <xdr:pic>
      <xdr:nvPicPr>
        <xdr:cNvPr id="7" name="Imagen 6" descr="Logo Conselleria d'Hisenda i Relacions Exteriors COLOR">
          <a:extLst>
            <a:ext uri="{FF2B5EF4-FFF2-40B4-BE49-F238E27FC236}">
              <a16:creationId xmlns:a16="http://schemas.microsoft.com/office/drawing/2014/main" id="{00000000-0008-0000-1100-000007000000}"/>
            </a:ext>
          </a:extLst>
        </xdr:cNvPr>
        <xdr:cNvPicPr/>
      </xdr:nvPicPr>
      <xdr:blipFill>
        <a:blip xmlns:r="http://schemas.openxmlformats.org/officeDocument/2006/relationships" r:embed="rId3"/>
        <a:srcRect/>
        <a:stretch>
          <a:fillRect/>
        </a:stretch>
      </xdr:blipFill>
      <xdr:spPr bwMode="auto">
        <a:xfrm>
          <a:off x="0" y="0"/>
          <a:ext cx="1290320" cy="1178560"/>
        </a:xfrm>
        <a:prstGeom prst="rect">
          <a:avLst/>
        </a:prstGeom>
        <a:noFill/>
        <a:ln w="9525">
          <a:noFill/>
          <a:miter lim="800000"/>
          <a:headEnd/>
          <a:tailEnd/>
        </a:ln>
      </xdr:spPr>
    </xdr:pic>
    <xdr:clientData/>
  </xdr:twoCellAnchor>
  <xdr:twoCellAnchor>
    <xdr:from>
      <xdr:col>14</xdr:col>
      <xdr:colOff>476250</xdr:colOff>
      <xdr:row>16</xdr:row>
      <xdr:rowOff>0</xdr:rowOff>
    </xdr:from>
    <xdr:to>
      <xdr:col>18</xdr:col>
      <xdr:colOff>466725</xdr:colOff>
      <xdr:row>30</xdr:row>
      <xdr:rowOff>0</xdr:rowOff>
    </xdr:to>
    <xdr:graphicFrame macro="">
      <xdr:nvGraphicFramePr>
        <xdr:cNvPr id="5" name="Chart 4">
          <a:extLst>
            <a:ext uri="{FF2B5EF4-FFF2-40B4-BE49-F238E27FC236}">
              <a16:creationId xmlns:a16="http://schemas.microsoft.com/office/drawing/2014/main" id="{00000000-0008-0000-1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1304925</xdr:colOff>
      <xdr:row>12</xdr:row>
      <xdr:rowOff>228601</xdr:rowOff>
    </xdr:from>
    <xdr:to>
      <xdr:col>21</xdr:col>
      <xdr:colOff>476250</xdr:colOff>
      <xdr:row>36</xdr:row>
      <xdr:rowOff>152400</xdr:rowOff>
    </xdr:to>
    <xdr:graphicFrame macro="">
      <xdr:nvGraphicFramePr>
        <xdr:cNvPr id="47194" name="Chart 2">
          <a:extLst>
            <a:ext uri="{FF2B5EF4-FFF2-40B4-BE49-F238E27FC236}">
              <a16:creationId xmlns:a16="http://schemas.microsoft.com/office/drawing/2014/main" id="{00000000-0008-0000-1200-00005AB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1</xdr:rowOff>
    </xdr:from>
    <xdr:to>
      <xdr:col>0</xdr:col>
      <xdr:colOff>1290320</xdr:colOff>
      <xdr:row>4</xdr:row>
      <xdr:rowOff>142876</xdr:rowOff>
    </xdr:to>
    <xdr:pic>
      <xdr:nvPicPr>
        <xdr:cNvPr id="4" name="Imagen 3" descr="Logo Conselleria d'Hisenda i Relacions Exteriors COLOR">
          <a:extLst>
            <a:ext uri="{FF2B5EF4-FFF2-40B4-BE49-F238E27FC236}">
              <a16:creationId xmlns:a16="http://schemas.microsoft.com/office/drawing/2014/main" id="{00000000-0008-0000-1200-000004000000}"/>
            </a:ext>
          </a:extLst>
        </xdr:cNvPr>
        <xdr:cNvPicPr/>
      </xdr:nvPicPr>
      <xdr:blipFill>
        <a:blip xmlns:r="http://schemas.openxmlformats.org/officeDocument/2006/relationships" r:embed="rId2"/>
        <a:srcRect/>
        <a:stretch>
          <a:fillRect/>
        </a:stretch>
      </xdr:blipFill>
      <xdr:spPr bwMode="auto">
        <a:xfrm>
          <a:off x="0" y="1"/>
          <a:ext cx="1290320" cy="10858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638175</xdr:colOff>
      <xdr:row>32</xdr:row>
      <xdr:rowOff>180975</xdr:rowOff>
    </xdr:from>
    <xdr:to>
      <xdr:col>5</xdr:col>
      <xdr:colOff>619125</xdr:colOff>
      <xdr:row>45</xdr:row>
      <xdr:rowOff>47625</xdr:rowOff>
    </xdr:to>
    <xdr:graphicFrame macro="">
      <xdr:nvGraphicFramePr>
        <xdr:cNvPr id="4186" name="Chart 1">
          <a:extLst>
            <a:ext uri="{FF2B5EF4-FFF2-40B4-BE49-F238E27FC236}">
              <a16:creationId xmlns:a16="http://schemas.microsoft.com/office/drawing/2014/main" id="{00000000-0008-0000-0100-00005A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304800</xdr:colOff>
      <xdr:row>5</xdr:row>
      <xdr:rowOff>76199</xdr:rowOff>
    </xdr:to>
    <xdr:pic>
      <xdr:nvPicPr>
        <xdr:cNvPr id="5" name="Imagen 4" descr="Logo Conselleria d'Hisenda i Relacions Exteriors COLOR">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2"/>
        <a:srcRect/>
        <a:stretch>
          <a:fillRect/>
        </a:stretch>
      </xdr:blipFill>
      <xdr:spPr bwMode="auto">
        <a:xfrm>
          <a:off x="0" y="0"/>
          <a:ext cx="1400175" cy="1219199"/>
        </a:xfrm>
        <a:prstGeom prst="rect">
          <a:avLst/>
        </a:prstGeom>
        <a:noFill/>
        <a:ln w="9525">
          <a:noFill/>
          <a:miter lim="800000"/>
          <a:headEnd/>
          <a:tailEnd/>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1290320</xdr:colOff>
      <xdr:row>4</xdr:row>
      <xdr:rowOff>180976</xdr:rowOff>
    </xdr:to>
    <xdr:pic>
      <xdr:nvPicPr>
        <xdr:cNvPr id="7" name="Imagen 6" descr="Logo Conselleria d'Hisenda i Relacions Exteriors COLOR">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a:srcRect/>
        <a:stretch>
          <a:fillRect/>
        </a:stretch>
      </xdr:blipFill>
      <xdr:spPr bwMode="auto">
        <a:xfrm>
          <a:off x="0" y="1"/>
          <a:ext cx="1290320" cy="1123950"/>
        </a:xfrm>
        <a:prstGeom prst="rect">
          <a:avLst/>
        </a:prstGeom>
        <a:noFill/>
        <a:ln w="9525">
          <a:noFill/>
          <a:miter lim="800000"/>
          <a:headEnd/>
          <a:tailEnd/>
        </a:ln>
      </xdr:spPr>
    </xdr:pic>
    <xdr:clientData/>
  </xdr:twoCellAnchor>
  <xdr:twoCellAnchor>
    <xdr:from>
      <xdr:col>0</xdr:col>
      <xdr:colOff>19051</xdr:colOff>
      <xdr:row>15</xdr:row>
      <xdr:rowOff>0</xdr:rowOff>
    </xdr:from>
    <xdr:to>
      <xdr:col>14</xdr:col>
      <xdr:colOff>9526</xdr:colOff>
      <xdr:row>29</xdr:row>
      <xdr:rowOff>0</xdr:rowOff>
    </xdr:to>
    <xdr:graphicFrame macro="">
      <xdr:nvGraphicFramePr>
        <xdr:cNvPr id="6" name="Chart 4">
          <a:extLst>
            <a:ext uri="{FF2B5EF4-FFF2-40B4-BE49-F238E27FC236}">
              <a16:creationId xmlns:a16="http://schemas.microsoft.com/office/drawing/2014/main" id="{00000000-0008-0000-1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263524</xdr:colOff>
      <xdr:row>15</xdr:row>
      <xdr:rowOff>0</xdr:rowOff>
    </xdr:from>
    <xdr:to>
      <xdr:col>18</xdr:col>
      <xdr:colOff>314326</xdr:colOff>
      <xdr:row>29</xdr:row>
      <xdr:rowOff>0</xdr:rowOff>
    </xdr:to>
    <xdr:graphicFrame macro="">
      <xdr:nvGraphicFramePr>
        <xdr:cNvPr id="9" name="Chart 4">
          <a:extLst>
            <a:ext uri="{FF2B5EF4-FFF2-40B4-BE49-F238E27FC236}">
              <a16:creationId xmlns:a16="http://schemas.microsoft.com/office/drawing/2014/main" id="{00000000-0008-0000-1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657225</xdr:colOff>
      <xdr:row>15</xdr:row>
      <xdr:rowOff>9525</xdr:rowOff>
    </xdr:from>
    <xdr:to>
      <xdr:col>22</xdr:col>
      <xdr:colOff>774702</xdr:colOff>
      <xdr:row>29</xdr:row>
      <xdr:rowOff>9525</xdr:rowOff>
    </xdr:to>
    <xdr:graphicFrame macro="">
      <xdr:nvGraphicFramePr>
        <xdr:cNvPr id="10" name="Chart 4">
          <a:extLst>
            <a:ext uri="{FF2B5EF4-FFF2-40B4-BE49-F238E27FC236}">
              <a16:creationId xmlns:a16="http://schemas.microsoft.com/office/drawing/2014/main" id="{00000000-0008-0000-13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546100</xdr:colOff>
      <xdr:row>13</xdr:row>
      <xdr:rowOff>9525</xdr:rowOff>
    </xdr:from>
    <xdr:to>
      <xdr:col>22</xdr:col>
      <xdr:colOff>219075</xdr:colOff>
      <xdr:row>36</xdr:row>
      <xdr:rowOff>95250</xdr:rowOff>
    </xdr:to>
    <xdr:graphicFrame macro="">
      <xdr:nvGraphicFramePr>
        <xdr:cNvPr id="53338" name="Chart 1">
          <a:extLst>
            <a:ext uri="{FF2B5EF4-FFF2-40B4-BE49-F238E27FC236}">
              <a16:creationId xmlns:a16="http://schemas.microsoft.com/office/drawing/2014/main" id="{00000000-0008-0000-1400-00005AD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13</xdr:col>
      <xdr:colOff>134620</xdr:colOff>
      <xdr:row>4</xdr:row>
      <xdr:rowOff>161925</xdr:rowOff>
    </xdr:to>
    <xdr:pic>
      <xdr:nvPicPr>
        <xdr:cNvPr id="4" name="Imagen 3" descr="Logo Conselleria d'Hisenda i Relacions Exteriors COLOR">
          <a:extLst>
            <a:ext uri="{FF2B5EF4-FFF2-40B4-BE49-F238E27FC236}">
              <a16:creationId xmlns:a16="http://schemas.microsoft.com/office/drawing/2014/main" id="{00000000-0008-0000-1400-000004000000}"/>
            </a:ext>
          </a:extLst>
        </xdr:cNvPr>
        <xdr:cNvPicPr/>
      </xdr:nvPicPr>
      <xdr:blipFill>
        <a:blip xmlns:r="http://schemas.openxmlformats.org/officeDocument/2006/relationships" r:embed="rId2"/>
        <a:srcRect/>
        <a:stretch>
          <a:fillRect/>
        </a:stretch>
      </xdr:blipFill>
      <xdr:spPr bwMode="auto">
        <a:xfrm>
          <a:off x="0" y="0"/>
          <a:ext cx="1258570" cy="1076325"/>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2</xdr:colOff>
      <xdr:row>22</xdr:row>
      <xdr:rowOff>133349</xdr:rowOff>
    </xdr:from>
    <xdr:to>
      <xdr:col>16</xdr:col>
      <xdr:colOff>47625</xdr:colOff>
      <xdr:row>46</xdr:row>
      <xdr:rowOff>123824</xdr:rowOff>
    </xdr:to>
    <xdr:graphicFrame macro="">
      <xdr:nvGraphicFramePr>
        <xdr:cNvPr id="55386" name="Chart 1">
          <a:extLst>
            <a:ext uri="{FF2B5EF4-FFF2-40B4-BE49-F238E27FC236}">
              <a16:creationId xmlns:a16="http://schemas.microsoft.com/office/drawing/2014/main" id="{00000000-0008-0000-1500-00005A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1290320</xdr:colOff>
      <xdr:row>4</xdr:row>
      <xdr:rowOff>152400</xdr:rowOff>
    </xdr:to>
    <xdr:pic>
      <xdr:nvPicPr>
        <xdr:cNvPr id="4" name="Imagen 3" descr="Logo Conselleria d'Hisenda i Relacions Exteriors COLOR">
          <a:extLst>
            <a:ext uri="{FF2B5EF4-FFF2-40B4-BE49-F238E27FC236}">
              <a16:creationId xmlns:a16="http://schemas.microsoft.com/office/drawing/2014/main" id="{00000000-0008-0000-1500-000004000000}"/>
            </a:ext>
          </a:extLst>
        </xdr:cNvPr>
        <xdr:cNvPicPr/>
      </xdr:nvPicPr>
      <xdr:blipFill>
        <a:blip xmlns:r="http://schemas.openxmlformats.org/officeDocument/2006/relationships" r:embed="rId2"/>
        <a:srcRect/>
        <a:stretch>
          <a:fillRect/>
        </a:stretch>
      </xdr:blipFill>
      <xdr:spPr bwMode="auto">
        <a:xfrm>
          <a:off x="0" y="0"/>
          <a:ext cx="1290320" cy="1104900"/>
        </a:xfrm>
        <a:prstGeom prst="rect">
          <a:avLst/>
        </a:prstGeom>
        <a:noFill/>
        <a:ln w="9525">
          <a:noFill/>
          <a:miter lim="800000"/>
          <a:headEnd/>
          <a:tailEnd/>
        </a:ln>
      </xdr:spPr>
    </xdr:pic>
    <xdr:clientData/>
  </xdr:twoCellAnchor>
  <xdr:twoCellAnchor>
    <xdr:from>
      <xdr:col>16</xdr:col>
      <xdr:colOff>219077</xdr:colOff>
      <xdr:row>22</xdr:row>
      <xdr:rowOff>152400</xdr:rowOff>
    </xdr:from>
    <xdr:to>
      <xdr:col>22</xdr:col>
      <xdr:colOff>781051</xdr:colOff>
      <xdr:row>46</xdr:row>
      <xdr:rowOff>142875</xdr:rowOff>
    </xdr:to>
    <xdr:graphicFrame macro="">
      <xdr:nvGraphicFramePr>
        <xdr:cNvPr id="5" name="Chart 1">
          <a:extLst>
            <a:ext uri="{FF2B5EF4-FFF2-40B4-BE49-F238E27FC236}">
              <a16:creationId xmlns:a16="http://schemas.microsoft.com/office/drawing/2014/main" id="{00000000-0008-0000-1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1276350</xdr:colOff>
      <xdr:row>4</xdr:row>
      <xdr:rowOff>171450</xdr:rowOff>
    </xdr:to>
    <xdr:pic>
      <xdr:nvPicPr>
        <xdr:cNvPr id="6" name="Imagen 5" descr="Logo Conselleria d'Hisenda i Relacions Exteriors COLOR">
          <a:extLst>
            <a:ext uri="{FF2B5EF4-FFF2-40B4-BE49-F238E27FC236}">
              <a16:creationId xmlns:a16="http://schemas.microsoft.com/office/drawing/2014/main" id="{00000000-0008-0000-1900-000006000000}"/>
            </a:ext>
          </a:extLst>
        </xdr:cNvPr>
        <xdr:cNvPicPr/>
      </xdr:nvPicPr>
      <xdr:blipFill>
        <a:blip xmlns:r="http://schemas.openxmlformats.org/officeDocument/2006/relationships" r:embed="rId1"/>
        <a:srcRect/>
        <a:stretch>
          <a:fillRect/>
        </a:stretch>
      </xdr:blipFill>
      <xdr:spPr bwMode="auto">
        <a:xfrm>
          <a:off x="0" y="0"/>
          <a:ext cx="1276350" cy="1123950"/>
        </a:xfrm>
        <a:prstGeom prst="rect">
          <a:avLst/>
        </a:prstGeom>
        <a:noFill/>
        <a:ln w="9525">
          <a:noFill/>
          <a:miter lim="800000"/>
          <a:headEnd/>
          <a:tailEnd/>
        </a:ln>
      </xdr:spPr>
    </xdr:pic>
    <xdr:clientData/>
  </xdr:twoCellAnchor>
  <xdr:twoCellAnchor>
    <xdr:from>
      <xdr:col>0</xdr:col>
      <xdr:colOff>752475</xdr:colOff>
      <xdr:row>14</xdr:row>
      <xdr:rowOff>114300</xdr:rowOff>
    </xdr:from>
    <xdr:to>
      <xdr:col>22</xdr:col>
      <xdr:colOff>19050</xdr:colOff>
      <xdr:row>41</xdr:row>
      <xdr:rowOff>104775</xdr:rowOff>
    </xdr:to>
    <xdr:graphicFrame macro="">
      <xdr:nvGraphicFramePr>
        <xdr:cNvPr id="4" name="Chart 1">
          <a:extLst>
            <a:ext uri="{FF2B5EF4-FFF2-40B4-BE49-F238E27FC236}">
              <a16:creationId xmlns:a16="http://schemas.microsoft.com/office/drawing/2014/main" id="{00000000-0008-0000-1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396240</xdr:colOff>
      <xdr:row>5</xdr:row>
      <xdr:rowOff>106680</xdr:rowOff>
    </xdr:to>
    <xdr:pic>
      <xdr:nvPicPr>
        <xdr:cNvPr id="4" name="Imagen 3" descr="Logo Conselleria d'Hisenda i Relacions Exteriors COLOR">
          <a:extLst>
            <a:ext uri="{FF2B5EF4-FFF2-40B4-BE49-F238E27FC236}">
              <a16:creationId xmlns:a16="http://schemas.microsoft.com/office/drawing/2014/main" id="{00000000-0008-0000-1A00-000004000000}"/>
            </a:ext>
          </a:extLst>
        </xdr:cNvPr>
        <xdr:cNvPicPr/>
      </xdr:nvPicPr>
      <xdr:blipFill>
        <a:blip xmlns:r="http://schemas.openxmlformats.org/officeDocument/2006/relationships" r:embed="rId1"/>
        <a:srcRect/>
        <a:stretch>
          <a:fillRect/>
        </a:stretch>
      </xdr:blipFill>
      <xdr:spPr bwMode="auto">
        <a:xfrm>
          <a:off x="0" y="0"/>
          <a:ext cx="1188720" cy="1005840"/>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525780</xdr:colOff>
      <xdr:row>5</xdr:row>
      <xdr:rowOff>76200</xdr:rowOff>
    </xdr:to>
    <xdr:pic>
      <xdr:nvPicPr>
        <xdr:cNvPr id="4" name="Imagen 3" descr="Logo Conselleria d'Hisenda i Relacions Exteriors COLOR">
          <a:extLst>
            <a:ext uri="{FF2B5EF4-FFF2-40B4-BE49-F238E27FC236}">
              <a16:creationId xmlns:a16="http://schemas.microsoft.com/office/drawing/2014/main" id="{00000000-0008-0000-1B00-000004000000}"/>
            </a:ext>
          </a:extLst>
        </xdr:cNvPr>
        <xdr:cNvPicPr/>
      </xdr:nvPicPr>
      <xdr:blipFill>
        <a:blip xmlns:r="http://schemas.openxmlformats.org/officeDocument/2006/relationships" r:embed="rId1"/>
        <a:srcRect/>
        <a:stretch>
          <a:fillRect/>
        </a:stretch>
      </xdr:blipFill>
      <xdr:spPr bwMode="auto">
        <a:xfrm>
          <a:off x="0" y="0"/>
          <a:ext cx="1104900" cy="97536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121920</xdr:colOff>
      <xdr:row>4</xdr:row>
      <xdr:rowOff>238760</xdr:rowOff>
    </xdr:to>
    <xdr:pic>
      <xdr:nvPicPr>
        <xdr:cNvPr id="6" name="Imagen 5" descr="Logo Conselleria d'Hisenda i Relacions Exteriors COLOR">
          <a:extLst>
            <a:ext uri="{FF2B5EF4-FFF2-40B4-BE49-F238E27FC236}">
              <a16:creationId xmlns:a16="http://schemas.microsoft.com/office/drawing/2014/main" id="{00000000-0008-0000-0200-000006000000}"/>
            </a:ext>
          </a:extLst>
        </xdr:cNvPr>
        <xdr:cNvPicPr/>
      </xdr:nvPicPr>
      <xdr:blipFill>
        <a:blip xmlns:r="http://schemas.openxmlformats.org/officeDocument/2006/relationships" r:embed="rId1"/>
        <a:srcRect/>
        <a:stretch>
          <a:fillRect/>
        </a:stretch>
      </xdr:blipFill>
      <xdr:spPr bwMode="auto">
        <a:xfrm>
          <a:off x="0" y="0"/>
          <a:ext cx="1290320" cy="117856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225915</xdr:colOff>
      <xdr:row>4</xdr:row>
      <xdr:rowOff>238760</xdr:rowOff>
    </xdr:to>
    <xdr:pic>
      <xdr:nvPicPr>
        <xdr:cNvPr id="4" name="Imagen 3" descr="Logo Conselleria d'Hisenda i Relacions Exteriors COLOR">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a:srcRect/>
        <a:stretch>
          <a:fillRect/>
        </a:stretch>
      </xdr:blipFill>
      <xdr:spPr bwMode="auto">
        <a:xfrm>
          <a:off x="0" y="0"/>
          <a:ext cx="1290320" cy="117856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571501</xdr:colOff>
      <xdr:row>13</xdr:row>
      <xdr:rowOff>257175</xdr:rowOff>
    </xdr:from>
    <xdr:to>
      <xdr:col>22</xdr:col>
      <xdr:colOff>133350</xdr:colOff>
      <xdr:row>27</xdr:row>
      <xdr:rowOff>95250</xdr:rowOff>
    </xdr:to>
    <xdr:graphicFrame macro="">
      <xdr:nvGraphicFramePr>
        <xdr:cNvPr id="6234" name="Chart 1">
          <a:extLst>
            <a:ext uri="{FF2B5EF4-FFF2-40B4-BE49-F238E27FC236}">
              <a16:creationId xmlns:a16="http://schemas.microsoft.com/office/drawing/2014/main" id="{00000000-0008-0000-0400-00005A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1290320</xdr:colOff>
      <xdr:row>5</xdr:row>
      <xdr:rowOff>10160</xdr:rowOff>
    </xdr:to>
    <xdr:pic>
      <xdr:nvPicPr>
        <xdr:cNvPr id="5" name="Imagen 4" descr="Logo Conselleria d'Hisenda i Relacions Exteriors COLOR">
          <a:extLst>
            <a:ext uri="{FF2B5EF4-FFF2-40B4-BE49-F238E27FC236}">
              <a16:creationId xmlns:a16="http://schemas.microsoft.com/office/drawing/2014/main" id="{00000000-0008-0000-0400-000005000000}"/>
            </a:ext>
          </a:extLst>
        </xdr:cNvPr>
        <xdr:cNvPicPr/>
      </xdr:nvPicPr>
      <xdr:blipFill>
        <a:blip xmlns:r="http://schemas.openxmlformats.org/officeDocument/2006/relationships" r:embed="rId2"/>
        <a:srcRect/>
        <a:stretch>
          <a:fillRect/>
        </a:stretch>
      </xdr:blipFill>
      <xdr:spPr bwMode="auto">
        <a:xfrm>
          <a:off x="0" y="0"/>
          <a:ext cx="1290320" cy="117856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15</xdr:row>
      <xdr:rowOff>0</xdr:rowOff>
    </xdr:from>
    <xdr:to>
      <xdr:col>0</xdr:col>
      <xdr:colOff>0</xdr:colOff>
      <xdr:row>15</xdr:row>
      <xdr:rowOff>0</xdr:rowOff>
    </xdr:to>
    <xdr:graphicFrame macro="">
      <xdr:nvGraphicFramePr>
        <xdr:cNvPr id="1292" name="Chart 1025">
          <a:extLst>
            <a:ext uri="{FF2B5EF4-FFF2-40B4-BE49-F238E27FC236}">
              <a16:creationId xmlns:a16="http://schemas.microsoft.com/office/drawing/2014/main" id="{00000000-0008-0000-0500-00000C0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15</xdr:row>
      <xdr:rowOff>0</xdr:rowOff>
    </xdr:from>
    <xdr:to>
      <xdr:col>0</xdr:col>
      <xdr:colOff>0</xdr:colOff>
      <xdr:row>15</xdr:row>
      <xdr:rowOff>0</xdr:rowOff>
    </xdr:to>
    <xdr:graphicFrame macro="">
      <xdr:nvGraphicFramePr>
        <xdr:cNvPr id="1293" name="Chart 1026">
          <a:extLst>
            <a:ext uri="{FF2B5EF4-FFF2-40B4-BE49-F238E27FC236}">
              <a16:creationId xmlns:a16="http://schemas.microsoft.com/office/drawing/2014/main" id="{00000000-0008-0000-0500-00000D0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609598</xdr:colOff>
      <xdr:row>13</xdr:row>
      <xdr:rowOff>257175</xdr:rowOff>
    </xdr:from>
    <xdr:to>
      <xdr:col>22</xdr:col>
      <xdr:colOff>228600</xdr:colOff>
      <xdr:row>24</xdr:row>
      <xdr:rowOff>57150</xdr:rowOff>
    </xdr:to>
    <xdr:graphicFrame macro="">
      <xdr:nvGraphicFramePr>
        <xdr:cNvPr id="1294" name="Chart 1027">
          <a:extLst>
            <a:ext uri="{FF2B5EF4-FFF2-40B4-BE49-F238E27FC236}">
              <a16:creationId xmlns:a16="http://schemas.microsoft.com/office/drawing/2014/main" id="{00000000-0008-0000-0500-00000E0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1285875</xdr:colOff>
      <xdr:row>4</xdr:row>
      <xdr:rowOff>209550</xdr:rowOff>
    </xdr:to>
    <xdr:pic>
      <xdr:nvPicPr>
        <xdr:cNvPr id="6" name="Imagen 5" descr="Logo Conselleria d'Hisenda i Relacions Exteriors COLOR">
          <a:extLst>
            <a:ext uri="{FF2B5EF4-FFF2-40B4-BE49-F238E27FC236}">
              <a16:creationId xmlns:a16="http://schemas.microsoft.com/office/drawing/2014/main" id="{00000000-0008-0000-0500-000006000000}"/>
            </a:ext>
          </a:extLst>
        </xdr:cNvPr>
        <xdr:cNvPicPr/>
      </xdr:nvPicPr>
      <xdr:blipFill>
        <a:blip xmlns:r="http://schemas.openxmlformats.org/officeDocument/2006/relationships" r:embed="rId4"/>
        <a:srcRect/>
        <a:stretch>
          <a:fillRect/>
        </a:stretch>
      </xdr:blipFill>
      <xdr:spPr bwMode="auto">
        <a:xfrm>
          <a:off x="0" y="0"/>
          <a:ext cx="1285875" cy="115252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19052</xdr:colOff>
      <xdr:row>31</xdr:row>
      <xdr:rowOff>114300</xdr:rowOff>
    </xdr:from>
    <xdr:to>
      <xdr:col>4</xdr:col>
      <xdr:colOff>19051</xdr:colOff>
      <xdr:row>42</xdr:row>
      <xdr:rowOff>104775</xdr:rowOff>
    </xdr:to>
    <xdr:graphicFrame macro="">
      <xdr:nvGraphicFramePr>
        <xdr:cNvPr id="11443" name="Chart 1025">
          <a:extLst>
            <a:ext uri="{FF2B5EF4-FFF2-40B4-BE49-F238E27FC236}">
              <a16:creationId xmlns:a16="http://schemas.microsoft.com/office/drawing/2014/main" id="{00000000-0008-0000-0600-0000B3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285751</xdr:colOff>
      <xdr:row>31</xdr:row>
      <xdr:rowOff>114300</xdr:rowOff>
    </xdr:from>
    <xdr:to>
      <xdr:col>7</xdr:col>
      <xdr:colOff>1428751</xdr:colOff>
      <xdr:row>42</xdr:row>
      <xdr:rowOff>66675</xdr:rowOff>
    </xdr:to>
    <xdr:graphicFrame macro="">
      <xdr:nvGraphicFramePr>
        <xdr:cNvPr id="11444" name="Chart 1026">
          <a:extLst>
            <a:ext uri="{FF2B5EF4-FFF2-40B4-BE49-F238E27FC236}">
              <a16:creationId xmlns:a16="http://schemas.microsoft.com/office/drawing/2014/main" id="{00000000-0008-0000-0600-0000B4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762000</xdr:colOff>
      <xdr:row>4</xdr:row>
      <xdr:rowOff>104775</xdr:rowOff>
    </xdr:to>
    <xdr:pic>
      <xdr:nvPicPr>
        <xdr:cNvPr id="6" name="Imagen 5" descr="Logo Conselleria d'Hisenda i Relacions Exteriors COLOR">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3"/>
        <a:srcRect/>
        <a:stretch>
          <a:fillRect/>
        </a:stretch>
      </xdr:blipFill>
      <xdr:spPr bwMode="auto">
        <a:xfrm>
          <a:off x="0" y="0"/>
          <a:ext cx="1390650" cy="104775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13</xdr:col>
      <xdr:colOff>1028698</xdr:colOff>
      <xdr:row>21</xdr:row>
      <xdr:rowOff>114301</xdr:rowOff>
    </xdr:from>
    <xdr:to>
      <xdr:col>20</xdr:col>
      <xdr:colOff>1035050</xdr:colOff>
      <xdr:row>38</xdr:row>
      <xdr:rowOff>133350</xdr:rowOff>
    </xdr:to>
    <xdr:graphicFrame macro="">
      <xdr:nvGraphicFramePr>
        <xdr:cNvPr id="14426" name="Chart 1">
          <a:extLst>
            <a:ext uri="{FF2B5EF4-FFF2-40B4-BE49-F238E27FC236}">
              <a16:creationId xmlns:a16="http://schemas.microsoft.com/office/drawing/2014/main" id="{00000000-0008-0000-0700-00005A3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1290320</xdr:colOff>
      <xdr:row>5</xdr:row>
      <xdr:rowOff>12700</xdr:rowOff>
    </xdr:to>
    <xdr:pic>
      <xdr:nvPicPr>
        <xdr:cNvPr id="5" name="Imagen 4" descr="Logo Conselleria d'Hisenda i Relacions Exteriors COLOR">
          <a:extLst>
            <a:ext uri="{FF2B5EF4-FFF2-40B4-BE49-F238E27FC236}">
              <a16:creationId xmlns:a16="http://schemas.microsoft.com/office/drawing/2014/main" id="{00000000-0008-0000-0700-000005000000}"/>
            </a:ext>
          </a:extLst>
        </xdr:cNvPr>
        <xdr:cNvPicPr/>
      </xdr:nvPicPr>
      <xdr:blipFill>
        <a:blip xmlns:r="http://schemas.openxmlformats.org/officeDocument/2006/relationships" r:embed="rId2"/>
        <a:srcRect/>
        <a:stretch>
          <a:fillRect/>
        </a:stretch>
      </xdr:blipFill>
      <xdr:spPr bwMode="auto">
        <a:xfrm>
          <a:off x="0" y="0"/>
          <a:ext cx="1290320" cy="110490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1295397</xdr:colOff>
      <xdr:row>15</xdr:row>
      <xdr:rowOff>28575</xdr:rowOff>
    </xdr:from>
    <xdr:to>
      <xdr:col>21</xdr:col>
      <xdr:colOff>279399</xdr:colOff>
      <xdr:row>35</xdr:row>
      <xdr:rowOff>19050</xdr:rowOff>
    </xdr:to>
    <xdr:graphicFrame macro="">
      <xdr:nvGraphicFramePr>
        <xdr:cNvPr id="16474" name="Chart 1">
          <a:extLst>
            <a:ext uri="{FF2B5EF4-FFF2-40B4-BE49-F238E27FC236}">
              <a16:creationId xmlns:a16="http://schemas.microsoft.com/office/drawing/2014/main" id="{00000000-0008-0000-0800-00005A4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1249680</xdr:colOff>
      <xdr:row>4</xdr:row>
      <xdr:rowOff>133350</xdr:rowOff>
    </xdr:to>
    <xdr:pic>
      <xdr:nvPicPr>
        <xdr:cNvPr id="5" name="Imagen 4" descr="Logo Conselleria d'Hisenda i Relacions Exteriors COLOR">
          <a:extLst>
            <a:ext uri="{FF2B5EF4-FFF2-40B4-BE49-F238E27FC236}">
              <a16:creationId xmlns:a16="http://schemas.microsoft.com/office/drawing/2014/main" id="{00000000-0008-0000-0800-000005000000}"/>
            </a:ext>
          </a:extLst>
        </xdr:cNvPr>
        <xdr:cNvPicPr/>
      </xdr:nvPicPr>
      <xdr:blipFill>
        <a:blip xmlns:r="http://schemas.openxmlformats.org/officeDocument/2006/relationships" r:embed="rId2"/>
        <a:srcRect/>
        <a:stretch>
          <a:fillRect/>
        </a:stretch>
      </xdr:blipFill>
      <xdr:spPr bwMode="auto">
        <a:xfrm>
          <a:off x="0" y="0"/>
          <a:ext cx="1249680" cy="10763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FF0000"/>
  </sheetPr>
  <dimension ref="A1:W70"/>
  <sheetViews>
    <sheetView showGridLines="0" topLeftCell="A9" zoomScaleNormal="100" workbookViewId="0">
      <selection activeCell="C24" sqref="C24"/>
    </sheetView>
  </sheetViews>
  <sheetFormatPr baseColWidth="10" defaultRowHeight="15.65"/>
  <cols>
    <col min="1" max="1" width="16.375" style="7" customWidth="1"/>
    <col min="2" max="2" width="19.125" style="7" bestFit="1" customWidth="1"/>
    <col min="3" max="5" width="27.75" style="7" customWidth="1"/>
    <col min="6" max="6" width="20.75" style="7" customWidth="1"/>
    <col min="7" max="7" width="30.75" style="7" customWidth="1"/>
    <col min="8" max="8" width="4.75" style="7" customWidth="1"/>
    <col min="9" max="9" width="25.375" style="7" customWidth="1"/>
    <col min="10" max="10" width="13.375" style="7" customWidth="1"/>
    <col min="11" max="16" width="10.875" style="4"/>
  </cols>
  <sheetData>
    <row r="1" spans="1:23" ht="18" customHeight="1">
      <c r="A1" s="511"/>
      <c r="B1" s="1"/>
      <c r="C1" s="2"/>
      <c r="D1" s="2"/>
      <c r="E1" s="2"/>
      <c r="F1" s="2"/>
      <c r="G1" s="2"/>
      <c r="H1" s="2"/>
      <c r="I1" s="2"/>
      <c r="J1" s="3"/>
    </row>
    <row r="2" spans="1:23" ht="18" customHeight="1">
      <c r="A2" s="1"/>
      <c r="B2" s="1"/>
      <c r="C2" s="2"/>
      <c r="D2" s="2"/>
      <c r="E2" s="2"/>
      <c r="F2" s="2"/>
      <c r="G2" s="2"/>
      <c r="H2" s="2"/>
      <c r="I2" s="2"/>
      <c r="J2" s="3"/>
    </row>
    <row r="3" spans="1:23" ht="18" customHeight="1">
      <c r="A3" s="5"/>
      <c r="B3" s="5"/>
      <c r="C3" s="5"/>
      <c r="D3" s="5"/>
      <c r="E3" s="5"/>
      <c r="F3" s="5"/>
      <c r="G3" s="5"/>
      <c r="H3" s="5"/>
      <c r="I3" s="5"/>
      <c r="J3" s="6"/>
    </row>
    <row r="4" spans="1:23" ht="18" customHeight="1">
      <c r="A4" s="586" t="s">
        <v>230</v>
      </c>
      <c r="B4" s="586"/>
      <c r="C4" s="586"/>
      <c r="D4" s="586"/>
      <c r="E4" s="586"/>
      <c r="F4" s="586"/>
      <c r="G4" s="586"/>
      <c r="H4" s="555"/>
      <c r="I4" s="555"/>
      <c r="J4" s="555"/>
      <c r="K4" s="555"/>
      <c r="L4" s="555"/>
      <c r="M4" s="555"/>
      <c r="N4" s="555"/>
      <c r="O4" s="555"/>
      <c r="P4" s="555"/>
      <c r="Q4" s="555"/>
      <c r="R4" s="555"/>
      <c r="S4" s="555"/>
      <c r="T4" s="555"/>
      <c r="U4" s="555"/>
      <c r="V4" s="555"/>
      <c r="W4" s="555"/>
    </row>
    <row r="5" spans="1:23" ht="18" customHeight="1">
      <c r="A5" s="5"/>
      <c r="B5" s="5"/>
      <c r="C5" s="5"/>
      <c r="D5" s="5"/>
      <c r="E5" s="5"/>
      <c r="F5" s="5"/>
      <c r="G5" s="5"/>
      <c r="H5" s="5"/>
      <c r="I5" s="5"/>
      <c r="J5" s="6"/>
    </row>
    <row r="6" spans="1:23" ht="27" customHeight="1">
      <c r="B6" s="8"/>
      <c r="C6" s="9"/>
      <c r="D6" s="108" t="s">
        <v>128</v>
      </c>
      <c r="E6" s="9"/>
      <c r="F6" s="9"/>
      <c r="G6" s="9"/>
      <c r="H6" s="9"/>
      <c r="I6" s="9"/>
      <c r="J6"/>
    </row>
    <row r="7" spans="1:23" ht="18" customHeight="1">
      <c r="A7" s="106" t="s">
        <v>199</v>
      </c>
      <c r="B7" s="11"/>
      <c r="C7" s="107" t="s">
        <v>127</v>
      </c>
      <c r="D7" s="107" t="s">
        <v>129</v>
      </c>
      <c r="E7" s="107" t="s">
        <v>130</v>
      </c>
      <c r="F7" s="107"/>
      <c r="G7" s="12"/>
      <c r="H7" s="12"/>
      <c r="I7" s="12"/>
      <c r="J7"/>
      <c r="K7" s="582"/>
      <c r="L7" s="582"/>
    </row>
    <row r="8" spans="1:23" ht="9" customHeight="1" thickBot="1">
      <c r="A8" s="27"/>
      <c r="B8" s="78"/>
      <c r="C8" s="81"/>
      <c r="D8" s="81"/>
      <c r="E8" s="82"/>
      <c r="F8" s="110"/>
      <c r="G8" s="14"/>
      <c r="H8" s="14"/>
      <c r="I8" s="14"/>
      <c r="J8"/>
    </row>
    <row r="9" spans="1:23" ht="9" customHeight="1" thickTop="1">
      <c r="A9" s="13"/>
      <c r="B9" s="452"/>
      <c r="C9" s="83"/>
      <c r="D9" s="83"/>
      <c r="E9" s="80"/>
      <c r="F9" s="80"/>
      <c r="G9" s="12"/>
      <c r="H9" s="12"/>
      <c r="I9" s="12"/>
      <c r="J9"/>
    </row>
    <row r="10" spans="1:23" ht="18" hidden="1" customHeight="1">
      <c r="B10" s="453">
        <v>1999</v>
      </c>
      <c r="C10" s="114">
        <v>974.94</v>
      </c>
      <c r="D10" s="114">
        <v>900.11</v>
      </c>
      <c r="E10" s="114">
        <f t="shared" ref="E10:E17" si="0">D10/C10*100</f>
        <v>92.324655876259044</v>
      </c>
      <c r="F10" s="84"/>
      <c r="G10" s="32"/>
      <c r="I10" s="16"/>
      <c r="J10"/>
    </row>
    <row r="11" spans="1:23" ht="18" hidden="1" customHeight="1">
      <c r="B11" s="453">
        <v>2000</v>
      </c>
      <c r="C11" s="114">
        <v>1042.82</v>
      </c>
      <c r="D11" s="114">
        <v>953.44</v>
      </c>
      <c r="E11" s="114">
        <f t="shared" si="0"/>
        <v>91.429009800349064</v>
      </c>
      <c r="F11" s="84"/>
      <c r="G11" s="32"/>
      <c r="H11" s="109"/>
      <c r="I11" s="16"/>
      <c r="J11"/>
    </row>
    <row r="12" spans="1:23" ht="18" hidden="1" customHeight="1">
      <c r="B12" s="451">
        <v>2001</v>
      </c>
      <c r="C12" s="114">
        <v>1095.08</v>
      </c>
      <c r="D12" s="114">
        <v>1064.5999999999999</v>
      </c>
      <c r="E12" s="116">
        <f t="shared" si="0"/>
        <v>97.216641706541978</v>
      </c>
      <c r="F12" s="84"/>
      <c r="G12" s="32"/>
      <c r="H12" s="109"/>
      <c r="I12" s="16"/>
      <c r="J12"/>
    </row>
    <row r="13" spans="1:23" ht="18" hidden="1" customHeight="1">
      <c r="B13" s="451">
        <v>2002</v>
      </c>
      <c r="C13" s="114">
        <f>1673824393.98/1000000</f>
        <v>1673.82439398</v>
      </c>
      <c r="D13" s="114">
        <v>2017.91</v>
      </c>
      <c r="E13" s="117">
        <f t="shared" si="0"/>
        <v>120.5568521559085</v>
      </c>
      <c r="F13" s="84"/>
      <c r="G13" s="32"/>
      <c r="H13" s="109"/>
      <c r="I13" s="17"/>
      <c r="J13"/>
    </row>
    <row r="14" spans="1:23" ht="18" hidden="1" customHeight="1">
      <c r="B14" s="451">
        <v>2003</v>
      </c>
      <c r="C14" s="114">
        <v>2213.0500000000002</v>
      </c>
      <c r="D14" s="114">
        <v>2112.8200000000002</v>
      </c>
      <c r="E14" s="117">
        <f t="shared" si="0"/>
        <v>95.470956372427196</v>
      </c>
      <c r="F14" s="84"/>
      <c r="G14" s="32"/>
      <c r="H14" s="109"/>
      <c r="I14" s="16"/>
      <c r="J14"/>
    </row>
    <row r="15" spans="1:23" ht="18" hidden="1" customHeight="1">
      <c r="B15" s="451">
        <v>2004</v>
      </c>
      <c r="C15" s="211">
        <v>2391.91</v>
      </c>
      <c r="D15" s="114">
        <v>2753.97</v>
      </c>
      <c r="E15" s="117">
        <f t="shared" si="0"/>
        <v>115.13685715599667</v>
      </c>
      <c r="F15" s="84"/>
      <c r="G15" s="32"/>
      <c r="H15" s="109"/>
      <c r="I15" s="16"/>
      <c r="J15"/>
    </row>
    <row r="16" spans="1:23" ht="18" hidden="1" customHeight="1">
      <c r="B16" s="453">
        <v>2005</v>
      </c>
      <c r="C16" s="114">
        <v>3076.35</v>
      </c>
      <c r="D16" s="114">
        <v>2915.83</v>
      </c>
      <c r="E16" s="117">
        <f t="shared" si="0"/>
        <v>94.782128171371909</v>
      </c>
      <c r="F16" s="84"/>
      <c r="G16" s="32"/>
      <c r="H16" s="109"/>
      <c r="I16" s="16"/>
      <c r="J16"/>
    </row>
    <row r="17" spans="1:23" ht="18" hidden="1" customHeight="1">
      <c r="B17" s="453">
        <v>2006</v>
      </c>
      <c r="C17" s="114">
        <v>3037.3</v>
      </c>
      <c r="D17" s="114">
        <v>3057.59</v>
      </c>
      <c r="E17" s="117">
        <f t="shared" si="0"/>
        <v>100.66802752444606</v>
      </c>
      <c r="F17" s="112"/>
      <c r="G17" s="32"/>
      <c r="H17" s="109"/>
      <c r="I17" s="16"/>
      <c r="J17"/>
    </row>
    <row r="18" spans="1:23" ht="18" hidden="1" customHeight="1">
      <c r="B18" s="453">
        <v>2007</v>
      </c>
      <c r="C18" s="114">
        <v>3409.57</v>
      </c>
      <c r="D18" s="114">
        <v>3110.95</v>
      </c>
      <c r="E18" s="117">
        <f t="shared" ref="E18:E21" si="1">D18/C18*100</f>
        <v>91.241710831571126</v>
      </c>
      <c r="G18" s="32"/>
      <c r="H18" s="109"/>
      <c r="I18" s="16"/>
      <c r="J18"/>
    </row>
    <row r="19" spans="1:23" ht="18" hidden="1" customHeight="1">
      <c r="B19" s="453">
        <v>2008</v>
      </c>
      <c r="C19" s="114">
        <v>3754.85</v>
      </c>
      <c r="D19" s="114">
        <v>3450.79</v>
      </c>
      <c r="E19" s="117">
        <f t="shared" si="1"/>
        <v>91.902206479619693</v>
      </c>
      <c r="H19" s="109"/>
      <c r="I19" s="16"/>
      <c r="J19"/>
      <c r="K19"/>
      <c r="L19"/>
      <c r="M19"/>
      <c r="N19"/>
      <c r="O19"/>
      <c r="P19"/>
    </row>
    <row r="20" spans="1:23" ht="18" hidden="1" customHeight="1">
      <c r="A20" s="550"/>
      <c r="B20" s="551">
        <v>2009</v>
      </c>
      <c r="C20" s="545">
        <v>4136.9399999999996</v>
      </c>
      <c r="D20" s="545">
        <v>4300.33</v>
      </c>
      <c r="E20" s="552">
        <f t="shared" si="1"/>
        <v>103.94953758091729</v>
      </c>
      <c r="F20" s="550"/>
      <c r="G20" s="550"/>
      <c r="H20" s="553"/>
      <c r="I20" s="554"/>
      <c r="J20" s="157"/>
      <c r="K20" s="157"/>
      <c r="L20" s="157"/>
      <c r="M20" s="157"/>
      <c r="N20" s="157"/>
      <c r="O20" s="157"/>
      <c r="P20" s="157"/>
      <c r="Q20" s="157"/>
      <c r="R20" s="157"/>
      <c r="S20" s="157"/>
      <c r="T20" s="157"/>
      <c r="U20" s="157"/>
      <c r="V20" s="157"/>
      <c r="W20" s="157"/>
    </row>
    <row r="21" spans="1:23" ht="18" hidden="1" customHeight="1">
      <c r="B21" s="453">
        <v>2010</v>
      </c>
      <c r="C21" s="114">
        <v>4125.21</v>
      </c>
      <c r="D21" s="114">
        <v>3384.67</v>
      </c>
      <c r="E21" s="117">
        <f t="shared" si="1"/>
        <v>82.04842904967262</v>
      </c>
      <c r="H21" s="109"/>
      <c r="I21" s="16"/>
      <c r="J21"/>
      <c r="K21"/>
      <c r="L21"/>
      <c r="M21"/>
      <c r="N21"/>
      <c r="O21"/>
      <c r="P21"/>
    </row>
    <row r="22" spans="1:23" ht="18" customHeight="1">
      <c r="B22" s="453">
        <v>2012</v>
      </c>
      <c r="C22" s="114">
        <v>5976.76</v>
      </c>
      <c r="D22" s="114">
        <v>5618.88</v>
      </c>
      <c r="E22" s="114">
        <f>D22/C22*100</f>
        <v>94.012140356982712</v>
      </c>
      <c r="H22" s="109"/>
      <c r="I22" s="16"/>
      <c r="J22"/>
      <c r="K22"/>
      <c r="L22"/>
      <c r="M22"/>
      <c r="N22"/>
      <c r="O22"/>
      <c r="P22"/>
    </row>
    <row r="23" spans="1:23" ht="17.350000000000001" customHeight="1">
      <c r="B23" s="453">
        <v>2013</v>
      </c>
      <c r="C23" s="114">
        <v>3775.53</v>
      </c>
      <c r="D23" s="114">
        <v>3988.22</v>
      </c>
      <c r="E23" s="114">
        <f t="shared" ref="E23:E30" si="2">D23/C23*100</f>
        <v>105.63338127362249</v>
      </c>
      <c r="F23" s="85"/>
      <c r="H23" s="109"/>
      <c r="I23" s="16"/>
      <c r="J23"/>
      <c r="K23"/>
      <c r="L23"/>
      <c r="M23"/>
      <c r="N23"/>
      <c r="O23"/>
      <c r="P23"/>
    </row>
    <row r="24" spans="1:23" ht="18.350000000000001">
      <c r="A24" s="24"/>
      <c r="B24" s="453">
        <v>2014</v>
      </c>
      <c r="C24" s="114">
        <v>4368.97</v>
      </c>
      <c r="D24" s="114">
        <v>4390.4399999999996</v>
      </c>
      <c r="E24" s="114">
        <f t="shared" si="2"/>
        <v>100.49142017454913</v>
      </c>
      <c r="F24" s="111"/>
      <c r="G24" s="24"/>
      <c r="H24" s="109"/>
      <c r="I24" s="16"/>
      <c r="J24"/>
      <c r="K24"/>
      <c r="L24"/>
      <c r="M24"/>
      <c r="N24"/>
      <c r="O24"/>
      <c r="P24"/>
    </row>
    <row r="25" spans="1:23" ht="18.350000000000001">
      <c r="A25" s="24"/>
      <c r="B25" s="454">
        <v>2015</v>
      </c>
      <c r="C25" s="114">
        <v>4247.3599999999997</v>
      </c>
      <c r="D25" s="114">
        <v>4152.49</v>
      </c>
      <c r="E25" s="114">
        <f t="shared" si="2"/>
        <v>97.766377231974687</v>
      </c>
      <c r="F25" s="111"/>
      <c r="G25" s="24"/>
      <c r="H25" s="448"/>
      <c r="I25" s="16"/>
      <c r="J25"/>
      <c r="K25"/>
      <c r="L25"/>
      <c r="M25"/>
      <c r="N25"/>
      <c r="O25"/>
      <c r="P25"/>
    </row>
    <row r="26" spans="1:23" ht="18.350000000000001">
      <c r="A26" s="24"/>
      <c r="B26" s="454">
        <v>2016</v>
      </c>
      <c r="C26" s="114">
        <v>4425.54</v>
      </c>
      <c r="D26" s="114">
        <v>4539.41</v>
      </c>
      <c r="E26" s="114">
        <f t="shared" si="2"/>
        <v>102.57301933775314</v>
      </c>
      <c r="F26" s="111"/>
      <c r="G26" s="24"/>
      <c r="H26" s="503"/>
      <c r="I26" s="16"/>
      <c r="J26"/>
      <c r="K26"/>
      <c r="L26"/>
      <c r="M26"/>
      <c r="N26"/>
      <c r="O26"/>
      <c r="P26"/>
    </row>
    <row r="27" spans="1:23" ht="18" customHeight="1">
      <c r="A27" s="25"/>
      <c r="B27" s="454">
        <v>2017</v>
      </c>
      <c r="C27" s="114">
        <v>4869.53</v>
      </c>
      <c r="D27" s="114">
        <v>4962.5600000000004</v>
      </c>
      <c r="E27" s="114">
        <f t="shared" si="2"/>
        <v>101.91045131665686</v>
      </c>
      <c r="F27" s="24"/>
      <c r="G27" s="23"/>
      <c r="H27" s="509"/>
      <c r="I27" s="16"/>
      <c r="J27"/>
      <c r="K27"/>
      <c r="L27"/>
      <c r="M27"/>
      <c r="N27"/>
      <c r="O27"/>
      <c r="P27"/>
    </row>
    <row r="28" spans="1:23" ht="18" customHeight="1">
      <c r="A28" s="25"/>
      <c r="B28" s="454">
        <v>2018</v>
      </c>
      <c r="C28" s="114">
        <v>5258.64</v>
      </c>
      <c r="D28" s="114">
        <v>4816.62</v>
      </c>
      <c r="E28" s="114">
        <f t="shared" si="2"/>
        <v>91.59440463694034</v>
      </c>
      <c r="F28" s="24"/>
      <c r="G28" s="23"/>
      <c r="H28" s="109"/>
      <c r="I28" s="16"/>
      <c r="J28"/>
      <c r="K28"/>
      <c r="L28"/>
      <c r="M28"/>
      <c r="N28"/>
      <c r="O28"/>
      <c r="P28"/>
    </row>
    <row r="29" spans="1:23" ht="18" customHeight="1">
      <c r="A29" s="25"/>
      <c r="B29" s="454">
        <v>2019</v>
      </c>
      <c r="C29" s="114">
        <v>5642.09</v>
      </c>
      <c r="D29" s="114">
        <v>5219.21</v>
      </c>
      <c r="E29" s="114">
        <f t="shared" ref="E29" si="3">D29/C29*100</f>
        <v>92.504905097224608</v>
      </c>
      <c r="F29" s="24"/>
      <c r="G29" s="23"/>
      <c r="H29" s="517"/>
      <c r="I29" s="16"/>
      <c r="J29"/>
      <c r="K29"/>
      <c r="L29"/>
      <c r="M29"/>
      <c r="N29"/>
      <c r="O29"/>
      <c r="P29"/>
    </row>
    <row r="30" spans="1:23" ht="18" customHeight="1">
      <c r="A30" s="25"/>
      <c r="B30" s="454">
        <v>2020</v>
      </c>
      <c r="C30" s="114">
        <v>6472.01</v>
      </c>
      <c r="D30" s="114">
        <v>6309.52</v>
      </c>
      <c r="E30" s="114">
        <f t="shared" si="2"/>
        <v>97.489342569000982</v>
      </c>
      <c r="F30" s="24"/>
      <c r="G30" s="23"/>
      <c r="H30" s="532"/>
      <c r="I30" s="16"/>
      <c r="J30"/>
      <c r="K30"/>
      <c r="L30"/>
      <c r="M30"/>
      <c r="N30"/>
      <c r="O30"/>
      <c r="P30"/>
    </row>
    <row r="31" spans="1:23" ht="18" customHeight="1">
      <c r="A31" s="25"/>
      <c r="B31" s="454">
        <v>2021</v>
      </c>
      <c r="C31" s="114">
        <v>7027.41</v>
      </c>
      <c r="D31" s="114">
        <v>7069.06</v>
      </c>
      <c r="E31" s="114">
        <f t="shared" ref="E31" si="4">D31/C31*100</f>
        <v>100.59267923744311</v>
      </c>
      <c r="F31" s="24"/>
      <c r="G31" s="23"/>
      <c r="H31" s="530"/>
      <c r="I31" s="16"/>
      <c r="J31"/>
      <c r="K31"/>
      <c r="L31"/>
      <c r="M31"/>
      <c r="N31"/>
      <c r="O31"/>
      <c r="P31"/>
    </row>
    <row r="32" spans="1:23" ht="18" customHeight="1">
      <c r="A32" s="23"/>
      <c r="B32" s="454"/>
      <c r="C32" s="35"/>
      <c r="D32" s="114"/>
      <c r="E32" s="114"/>
      <c r="F32" s="23"/>
      <c r="G32" s="24"/>
      <c r="H32" s="16"/>
      <c r="I32" s="16"/>
      <c r="J32"/>
      <c r="K32"/>
      <c r="L32"/>
      <c r="M32"/>
      <c r="N32"/>
      <c r="O32"/>
      <c r="P32"/>
    </row>
    <row r="33" spans="1:17" ht="18" customHeight="1">
      <c r="A33" s="23"/>
      <c r="B33" s="23"/>
      <c r="C33" s="23"/>
      <c r="D33" s="23"/>
      <c r="E33" s="23"/>
      <c r="F33" s="23"/>
      <c r="H33" s="16"/>
      <c r="I33" s="16"/>
      <c r="J33"/>
      <c r="K33"/>
      <c r="L33"/>
      <c r="M33"/>
      <c r="N33"/>
      <c r="O33"/>
      <c r="P33"/>
    </row>
    <row r="34" spans="1:17" ht="18" customHeight="1">
      <c r="A34" s="23"/>
      <c r="B34" s="23"/>
      <c r="C34" s="23"/>
      <c r="D34" s="23"/>
      <c r="E34" s="23"/>
      <c r="F34" s="23"/>
      <c r="G34" s="583" t="s">
        <v>200</v>
      </c>
      <c r="H34" s="18"/>
      <c r="I34" s="18"/>
      <c r="J34" s="19"/>
      <c r="K34"/>
      <c r="L34"/>
      <c r="M34"/>
      <c r="N34"/>
      <c r="O34"/>
      <c r="P34"/>
    </row>
    <row r="35" spans="1:17" ht="18" customHeight="1">
      <c r="A35" s="23"/>
      <c r="B35"/>
      <c r="C35"/>
      <c r="D35"/>
      <c r="E35"/>
      <c r="F35" s="23"/>
      <c r="G35" s="584"/>
      <c r="H35" s="20"/>
      <c r="I35" s="20"/>
      <c r="J35" s="19"/>
      <c r="K35"/>
      <c r="L35"/>
      <c r="M35"/>
      <c r="N35"/>
      <c r="O35"/>
      <c r="P35"/>
    </row>
    <row r="36" spans="1:17" ht="18" customHeight="1">
      <c r="A36" s="23"/>
      <c r="B36"/>
      <c r="C36"/>
      <c r="D36"/>
      <c r="E36"/>
      <c r="F36" s="23"/>
      <c r="G36" s="584"/>
      <c r="H36" s="21"/>
      <c r="I36" s="21"/>
      <c r="J36" s="19"/>
      <c r="K36"/>
      <c r="L36"/>
      <c r="M36"/>
      <c r="N36"/>
      <c r="O36"/>
      <c r="P36"/>
    </row>
    <row r="37" spans="1:17" ht="18" customHeight="1">
      <c r="A37"/>
      <c r="B37"/>
      <c r="C37"/>
      <c r="D37"/>
      <c r="E37"/>
      <c r="F37"/>
      <c r="G37" s="584"/>
      <c r="H37" s="21"/>
      <c r="I37" s="21"/>
      <c r="J37" s="19"/>
      <c r="K37"/>
      <c r="L37"/>
      <c r="M37"/>
      <c r="N37"/>
      <c r="O37"/>
      <c r="P37"/>
    </row>
    <row r="38" spans="1:17" ht="18" customHeight="1">
      <c r="A38"/>
      <c r="B38"/>
      <c r="C38"/>
      <c r="D38"/>
      <c r="E38"/>
      <c r="F38"/>
      <c r="G38" s="584"/>
      <c r="H38" s="21"/>
      <c r="I38" s="21"/>
      <c r="J38" s="19"/>
      <c r="K38"/>
      <c r="L38"/>
      <c r="M38"/>
      <c r="N38"/>
      <c r="O38"/>
      <c r="P38"/>
    </row>
    <row r="39" spans="1:17" ht="18" customHeight="1">
      <c r="A39"/>
      <c r="B39"/>
      <c r="C39"/>
      <c r="D39"/>
      <c r="E39"/>
      <c r="F39"/>
      <c r="G39" s="584"/>
      <c r="H39" s="24"/>
      <c r="I39" s="24"/>
      <c r="J39"/>
      <c r="K39"/>
      <c r="L39"/>
      <c r="M39"/>
      <c r="N39"/>
      <c r="O39"/>
      <c r="P39"/>
    </row>
    <row r="40" spans="1:17" ht="18" customHeight="1">
      <c r="A40"/>
      <c r="B40"/>
      <c r="C40"/>
      <c r="D40"/>
      <c r="E40"/>
      <c r="F40"/>
      <c r="G40" s="585"/>
      <c r="H40" s="23"/>
      <c r="I40" s="23"/>
      <c r="K40"/>
      <c r="L40"/>
      <c r="M40"/>
      <c r="N40"/>
      <c r="O40"/>
      <c r="P40"/>
    </row>
    <row r="41" spans="1:17" ht="18.350000000000001">
      <c r="A41"/>
      <c r="B41"/>
      <c r="C41"/>
      <c r="D41"/>
      <c r="E41"/>
      <c r="F41"/>
      <c r="G41" s="542"/>
      <c r="H41" s="23"/>
      <c r="I41" s="23"/>
      <c r="J41"/>
      <c r="K41"/>
      <c r="L41"/>
      <c r="M41"/>
      <c r="N41"/>
      <c r="O41"/>
      <c r="P41"/>
    </row>
    <row r="42" spans="1:17" ht="18.350000000000001">
      <c r="A42"/>
      <c r="B42"/>
      <c r="C42"/>
      <c r="D42"/>
      <c r="E42"/>
      <c r="F42"/>
      <c r="G42" s="506"/>
      <c r="H42" s="23"/>
      <c r="I42" s="23"/>
      <c r="J42"/>
      <c r="K42"/>
      <c r="L42"/>
      <c r="M42"/>
      <c r="N42"/>
      <c r="O42"/>
      <c r="P42"/>
    </row>
    <row r="43" spans="1:17" ht="18.350000000000001">
      <c r="A43"/>
      <c r="B43"/>
      <c r="C43"/>
      <c r="D43"/>
      <c r="E43"/>
      <c r="F43"/>
      <c r="G43" s="506"/>
      <c r="H43" s="23"/>
      <c r="I43" s="23"/>
      <c r="J43"/>
      <c r="K43"/>
      <c r="L43"/>
      <c r="M43"/>
      <c r="N43"/>
      <c r="O43"/>
      <c r="P43"/>
    </row>
    <row r="44" spans="1:17" ht="18.350000000000001">
      <c r="A44"/>
      <c r="B44"/>
      <c r="C44"/>
      <c r="D44"/>
      <c r="E44"/>
      <c r="F44"/>
      <c r="G44" s="506"/>
      <c r="I44" s="23"/>
      <c r="J44"/>
      <c r="K44"/>
      <c r="L44"/>
      <c r="M44"/>
      <c r="N44"/>
      <c r="O44"/>
      <c r="P44"/>
    </row>
    <row r="45" spans="1:17" ht="18.350000000000001">
      <c r="A45"/>
      <c r="B45"/>
      <c r="C45"/>
      <c r="D45"/>
      <c r="E45"/>
      <c r="F45"/>
      <c r="G45" s="506"/>
      <c r="H45" s="23"/>
      <c r="I45" s="23"/>
      <c r="J45"/>
      <c r="K45"/>
      <c r="L45"/>
      <c r="M45"/>
      <c r="N45"/>
      <c r="O45"/>
      <c r="P45"/>
    </row>
    <row r="46" spans="1:17" ht="18.350000000000001">
      <c r="A46"/>
      <c r="B46"/>
      <c r="C46"/>
      <c r="D46"/>
      <c r="E46"/>
      <c r="F46"/>
      <c r="G46" s="506"/>
      <c r="H46" s="23"/>
      <c r="I46" s="23"/>
      <c r="J46"/>
      <c r="K46"/>
      <c r="L46"/>
      <c r="M46"/>
      <c r="N46"/>
      <c r="O46"/>
      <c r="P46"/>
    </row>
    <row r="47" spans="1:17" s="67" customFormat="1" ht="18" customHeight="1">
      <c r="A47" s="491" t="s">
        <v>197</v>
      </c>
      <c r="B47" s="491"/>
      <c r="C47" s="491"/>
      <c r="D47" s="491"/>
      <c r="E47" s="491"/>
      <c r="F47" s="491"/>
      <c r="G47" s="506"/>
      <c r="H47" s="491"/>
      <c r="I47" s="491"/>
      <c r="J47" s="491"/>
      <c r="K47" s="491"/>
      <c r="L47" s="491"/>
      <c r="M47" s="491"/>
      <c r="N47" s="491"/>
      <c r="O47" s="491"/>
      <c r="P47" s="491"/>
      <c r="Q47" s="491"/>
    </row>
    <row r="48" spans="1:17" s="67" customFormat="1" ht="18" customHeight="1">
      <c r="A48" s="541" t="s">
        <v>228</v>
      </c>
      <c r="B48" s="491"/>
      <c r="C48" s="491"/>
      <c r="D48" s="491"/>
      <c r="E48" s="491"/>
      <c r="F48" s="491"/>
      <c r="G48" s="491"/>
      <c r="H48" s="491"/>
      <c r="I48" s="491"/>
      <c r="J48" s="491"/>
      <c r="K48" s="491"/>
      <c r="L48" s="491"/>
      <c r="M48" s="491"/>
      <c r="N48" s="491"/>
      <c r="O48" s="491"/>
      <c r="P48" s="491"/>
      <c r="Q48" s="491"/>
    </row>
    <row r="49" spans="1:17" s="67" customFormat="1" ht="18" customHeight="1">
      <c r="A49" s="541" t="s">
        <v>229</v>
      </c>
      <c r="B49" s="518"/>
      <c r="C49" s="518"/>
      <c r="D49" s="518"/>
      <c r="E49" s="518"/>
      <c r="F49" s="518"/>
      <c r="G49" s="518"/>
      <c r="H49" s="518"/>
      <c r="I49" s="518"/>
      <c r="J49" s="518"/>
      <c r="K49" s="518"/>
      <c r="L49" s="518"/>
      <c r="M49" s="518"/>
      <c r="N49" s="518"/>
      <c r="O49" s="518"/>
      <c r="P49" s="518"/>
      <c r="Q49" s="518"/>
    </row>
    <row r="50" spans="1:17" s="67" customFormat="1" ht="12.75" customHeight="1">
      <c r="A50" s="543"/>
      <c r="B50" s="543"/>
      <c r="C50" s="543"/>
      <c r="D50" s="543"/>
      <c r="E50" s="543"/>
      <c r="F50" s="543"/>
      <c r="G50" s="543"/>
      <c r="H50" s="491"/>
      <c r="I50" s="491"/>
      <c r="J50" s="491"/>
      <c r="K50" s="491"/>
      <c r="L50" s="491"/>
      <c r="M50" s="491"/>
      <c r="N50" s="491"/>
      <c r="O50" s="491"/>
      <c r="P50" s="491"/>
      <c r="Q50" s="491"/>
    </row>
    <row r="51" spans="1:17" ht="12.9">
      <c r="A51"/>
      <c r="B51"/>
      <c r="C51"/>
      <c r="D51"/>
      <c r="E51"/>
      <c r="F51"/>
      <c r="G51"/>
      <c r="H51"/>
      <c r="I51"/>
      <c r="J51"/>
      <c r="K51"/>
      <c r="L51"/>
      <c r="M51"/>
      <c r="N51"/>
      <c r="O51"/>
      <c r="P51"/>
    </row>
    <row r="52" spans="1:17" ht="12.9">
      <c r="A52"/>
      <c r="B52"/>
      <c r="C52"/>
      <c r="D52"/>
      <c r="E52"/>
      <c r="F52"/>
      <c r="G52"/>
      <c r="H52"/>
      <c r="I52"/>
      <c r="J52"/>
      <c r="K52"/>
      <c r="L52"/>
      <c r="M52"/>
      <c r="N52"/>
      <c r="O52"/>
      <c r="P52"/>
    </row>
    <row r="53" spans="1:17" ht="12.9">
      <c r="A53"/>
      <c r="B53"/>
      <c r="C53"/>
      <c r="D53"/>
      <c r="E53"/>
      <c r="F53"/>
      <c r="G53"/>
      <c r="H53"/>
      <c r="I53"/>
      <c r="J53"/>
      <c r="K53"/>
      <c r="L53"/>
      <c r="M53"/>
      <c r="N53"/>
      <c r="O53"/>
      <c r="P53"/>
    </row>
    <row r="54" spans="1:17" ht="12.9">
      <c r="A54"/>
      <c r="B54"/>
      <c r="C54"/>
      <c r="D54"/>
      <c r="E54"/>
      <c r="F54"/>
      <c r="G54"/>
      <c r="H54"/>
      <c r="I54"/>
      <c r="J54"/>
      <c r="K54"/>
      <c r="L54"/>
      <c r="M54"/>
      <c r="N54"/>
      <c r="O54"/>
      <c r="P54"/>
    </row>
    <row r="55" spans="1:17" ht="12.9">
      <c r="A55"/>
      <c r="B55"/>
      <c r="C55"/>
      <c r="D55"/>
      <c r="E55"/>
      <c r="F55"/>
      <c r="G55"/>
      <c r="H55"/>
      <c r="I55"/>
      <c r="J55"/>
      <c r="K55"/>
      <c r="L55"/>
      <c r="M55"/>
      <c r="N55"/>
      <c r="O55"/>
      <c r="P55"/>
    </row>
    <row r="56" spans="1:17" ht="12.9">
      <c r="A56"/>
      <c r="B56"/>
      <c r="C56"/>
      <c r="D56"/>
      <c r="E56"/>
      <c r="F56"/>
      <c r="G56"/>
      <c r="H56"/>
      <c r="I56"/>
      <c r="J56"/>
      <c r="K56"/>
      <c r="L56"/>
      <c r="M56"/>
      <c r="N56"/>
      <c r="O56"/>
      <c r="P56"/>
    </row>
    <row r="57" spans="1:17" ht="12.9">
      <c r="A57"/>
      <c r="B57"/>
      <c r="C57"/>
      <c r="D57"/>
      <c r="E57"/>
      <c r="F57"/>
      <c r="G57"/>
      <c r="H57"/>
      <c r="I57"/>
      <c r="J57"/>
      <c r="K57"/>
      <c r="L57"/>
      <c r="M57"/>
      <c r="N57"/>
      <c r="O57"/>
      <c r="P57"/>
    </row>
    <row r="58" spans="1:17" ht="12.9">
      <c r="A58"/>
      <c r="B58"/>
      <c r="C58"/>
      <c r="D58"/>
      <c r="E58"/>
      <c r="F58"/>
      <c r="G58"/>
      <c r="H58"/>
      <c r="I58"/>
      <c r="J58"/>
      <c r="K58"/>
      <c r="L58"/>
      <c r="M58"/>
      <c r="N58"/>
      <c r="O58"/>
      <c r="P58"/>
    </row>
    <row r="59" spans="1:17" ht="12.9">
      <c r="A59"/>
      <c r="B59"/>
      <c r="C59"/>
      <c r="D59"/>
      <c r="E59"/>
      <c r="F59"/>
      <c r="G59"/>
      <c r="H59"/>
      <c r="I59"/>
      <c r="J59"/>
      <c r="K59"/>
      <c r="L59"/>
      <c r="M59"/>
      <c r="N59"/>
      <c r="O59"/>
      <c r="P59"/>
    </row>
    <row r="60" spans="1:17">
      <c r="A60"/>
      <c r="F60"/>
      <c r="G60"/>
      <c r="H60"/>
      <c r="I60"/>
      <c r="J60"/>
      <c r="K60"/>
      <c r="L60"/>
      <c r="M60"/>
      <c r="N60"/>
      <c r="O60"/>
      <c r="P60"/>
    </row>
    <row r="61" spans="1:17">
      <c r="A61"/>
      <c r="F61"/>
      <c r="G61"/>
      <c r="H61"/>
      <c r="I61"/>
      <c r="J61"/>
      <c r="K61"/>
      <c r="L61"/>
      <c r="M61"/>
      <c r="N61"/>
      <c r="O61"/>
      <c r="P61"/>
    </row>
    <row r="62" spans="1:17">
      <c r="H62"/>
      <c r="I62"/>
      <c r="J62"/>
      <c r="K62"/>
      <c r="L62"/>
      <c r="M62"/>
      <c r="N62"/>
      <c r="O62"/>
      <c r="P62"/>
    </row>
    <row r="63" spans="1:17">
      <c r="H63"/>
      <c r="I63"/>
      <c r="J63"/>
      <c r="K63"/>
      <c r="L63"/>
      <c r="M63"/>
      <c r="N63"/>
      <c r="O63"/>
      <c r="P63"/>
    </row>
    <row r="64" spans="1:17">
      <c r="H64"/>
      <c r="I64"/>
      <c r="J64"/>
      <c r="K64"/>
      <c r="L64"/>
      <c r="M64"/>
      <c r="N64"/>
      <c r="O64"/>
      <c r="P64"/>
    </row>
    <row r="65" spans="8:16">
      <c r="H65"/>
      <c r="I65"/>
      <c r="J65"/>
      <c r="K65"/>
      <c r="L65"/>
      <c r="M65"/>
      <c r="N65"/>
      <c r="O65"/>
      <c r="P65"/>
    </row>
    <row r="66" spans="8:16">
      <c r="H66"/>
      <c r="I66"/>
      <c r="J66"/>
      <c r="K66"/>
      <c r="L66"/>
      <c r="M66"/>
      <c r="N66"/>
      <c r="O66"/>
      <c r="P66"/>
    </row>
    <row r="67" spans="8:16">
      <c r="H67"/>
      <c r="I67"/>
      <c r="J67"/>
      <c r="K67"/>
      <c r="L67"/>
      <c r="M67"/>
      <c r="N67"/>
      <c r="O67"/>
      <c r="P67"/>
    </row>
    <row r="68" spans="8:16">
      <c r="H68"/>
      <c r="I68"/>
      <c r="J68"/>
      <c r="K68"/>
      <c r="L68"/>
      <c r="M68"/>
      <c r="N68"/>
      <c r="O68"/>
      <c r="P68"/>
    </row>
    <row r="69" spans="8:16">
      <c r="H69"/>
      <c r="I69"/>
      <c r="J69"/>
      <c r="K69"/>
      <c r="L69"/>
      <c r="M69"/>
      <c r="N69"/>
      <c r="O69"/>
      <c r="P69"/>
    </row>
    <row r="70" spans="8:16">
      <c r="H70"/>
      <c r="I70"/>
      <c r="J70"/>
      <c r="K70"/>
      <c r="L70"/>
      <c r="M70"/>
      <c r="N70"/>
      <c r="O70"/>
      <c r="P70"/>
    </row>
  </sheetData>
  <mergeCells count="3">
    <mergeCell ref="K7:L7"/>
    <mergeCell ref="G34:G40"/>
    <mergeCell ref="A4:G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tabColor rgb="FF00B050"/>
  </sheetPr>
  <dimension ref="A1:V47"/>
  <sheetViews>
    <sheetView topLeftCell="A4" zoomScaleNormal="100" workbookViewId="0">
      <selection activeCell="V15" sqref="V15"/>
    </sheetView>
  </sheetViews>
  <sheetFormatPr baseColWidth="10" defaultRowHeight="12.9"/>
  <cols>
    <col min="1" max="1" width="40.125" customWidth="1"/>
    <col min="2" max="9" width="12.75" hidden="1" customWidth="1"/>
    <col min="10" max="12" width="12.375" hidden="1" customWidth="1"/>
    <col min="13" max="13" width="12.375" customWidth="1"/>
    <col min="14" max="14" width="13.75" customWidth="1"/>
    <col min="15" max="15" width="12.125" bestFit="1" customWidth="1"/>
    <col min="16" max="17" width="12.125" customWidth="1"/>
    <col min="21" max="21" width="14.625" customWidth="1"/>
    <col min="22" max="22" width="12.625" customWidth="1"/>
  </cols>
  <sheetData>
    <row r="1" spans="1:22" ht="18" customHeight="1"/>
    <row r="2" spans="1:22" ht="18" customHeight="1"/>
    <row r="3" spans="1:22" ht="18" customHeight="1"/>
    <row r="4" spans="1:22" ht="20.399999999999999">
      <c r="A4" s="592" t="s">
        <v>237</v>
      </c>
      <c r="B4" s="592"/>
      <c r="C4" s="592"/>
      <c r="D4" s="592"/>
      <c r="E4" s="592"/>
      <c r="F4" s="592"/>
      <c r="G4" s="592"/>
      <c r="H4" s="592"/>
      <c r="I4" s="592"/>
      <c r="J4" s="592"/>
      <c r="K4" s="592"/>
      <c r="L4" s="592"/>
      <c r="M4" s="592"/>
      <c r="N4" s="592"/>
      <c r="O4" s="592"/>
      <c r="P4" s="592"/>
      <c r="Q4" s="592"/>
      <c r="R4" s="592"/>
      <c r="S4" s="592"/>
      <c r="T4" s="592"/>
      <c r="U4" s="592"/>
      <c r="V4" s="592"/>
    </row>
    <row r="5" spans="1:22" ht="18" customHeight="1">
      <c r="A5" s="103"/>
      <c r="B5" s="103"/>
      <c r="C5" s="103"/>
      <c r="D5" s="103"/>
      <c r="E5" s="103"/>
      <c r="F5" s="103"/>
      <c r="G5" s="103"/>
      <c r="H5" s="103"/>
    </row>
    <row r="6" spans="1:22" ht="18" customHeight="1">
      <c r="A6" s="103"/>
      <c r="B6" s="103"/>
      <c r="C6" s="103"/>
      <c r="D6" s="103"/>
      <c r="E6" s="103"/>
      <c r="F6" s="103"/>
      <c r="G6" s="103"/>
      <c r="H6" s="103"/>
    </row>
    <row r="7" spans="1:22" ht="23.95" customHeight="1">
      <c r="A7" s="43" t="s">
        <v>199</v>
      </c>
      <c r="B7" s="95">
        <v>1999</v>
      </c>
      <c r="C7" s="95">
        <v>2000</v>
      </c>
      <c r="D7" s="95">
        <v>2001</v>
      </c>
      <c r="E7" s="95">
        <v>2002</v>
      </c>
      <c r="F7" s="95">
        <v>2003</v>
      </c>
      <c r="G7" s="95">
        <v>2004</v>
      </c>
      <c r="H7" s="95">
        <v>2005</v>
      </c>
      <c r="I7" s="165">
        <v>2006</v>
      </c>
      <c r="J7" s="95">
        <v>2008</v>
      </c>
      <c r="K7" s="95">
        <v>2009</v>
      </c>
      <c r="L7" s="95">
        <v>2010</v>
      </c>
      <c r="M7" s="95">
        <v>2012</v>
      </c>
      <c r="N7" s="95">
        <v>2013</v>
      </c>
      <c r="O7" s="95">
        <v>2014</v>
      </c>
      <c r="P7" s="95">
        <v>2015</v>
      </c>
      <c r="Q7" s="95">
        <v>2016</v>
      </c>
      <c r="R7" s="95">
        <v>2017</v>
      </c>
      <c r="S7" s="95">
        <v>2018</v>
      </c>
      <c r="T7" s="95">
        <v>2019</v>
      </c>
      <c r="U7" s="95">
        <v>2020</v>
      </c>
      <c r="V7" s="95">
        <v>2021</v>
      </c>
    </row>
    <row r="8" spans="1:22" ht="8.35" customHeight="1" thickBot="1">
      <c r="A8" s="157"/>
      <c r="B8" s="86"/>
      <c r="C8" s="86"/>
      <c r="D8" s="86"/>
      <c r="E8" s="86"/>
      <c r="F8" s="86"/>
      <c r="G8" s="86"/>
      <c r="H8" s="86"/>
      <c r="I8" s="248"/>
      <c r="J8" s="248"/>
      <c r="K8" s="157"/>
      <c r="L8" s="157"/>
      <c r="M8" s="157"/>
      <c r="N8" s="157"/>
      <c r="O8" s="157"/>
      <c r="P8" s="157"/>
      <c r="Q8" s="157"/>
      <c r="R8" s="157"/>
      <c r="S8" s="157"/>
      <c r="T8" s="157"/>
      <c r="U8" s="157"/>
      <c r="V8" s="157"/>
    </row>
    <row r="9" spans="1:22" ht="9" customHeight="1" thickTop="1">
      <c r="A9" s="67"/>
      <c r="B9" s="111"/>
      <c r="C9" s="111"/>
      <c r="D9" s="111"/>
      <c r="E9" s="111"/>
      <c r="F9" s="111"/>
      <c r="G9" s="111"/>
      <c r="H9" s="111"/>
      <c r="I9" s="165"/>
    </row>
    <row r="10" spans="1:22" ht="18" customHeight="1">
      <c r="A10" s="172" t="s">
        <v>148</v>
      </c>
      <c r="B10" s="140">
        <f>'DRETS R. CORRENT-CAPITAL CAIB'!B9</f>
        <v>796.3</v>
      </c>
      <c r="C10" s="140">
        <f>'DRETS R. CORRENT-CAPITAL CAIB'!C9</f>
        <v>873.73</v>
      </c>
      <c r="D10" s="140">
        <f>'DRETS R. CORRENT-CAPITAL CAIB'!D9</f>
        <v>859.57</v>
      </c>
      <c r="E10" s="140">
        <f>'DRETS R. CORRENT-CAPITAL CAIB'!E9</f>
        <v>1807.94</v>
      </c>
      <c r="F10" s="140">
        <f>'DRETS R. CORRENT-CAPITAL CAIB'!F9</f>
        <v>2044.61</v>
      </c>
      <c r="G10" s="140">
        <f>'DRETS R. CORRENT-CAPITAL CAIB'!G9</f>
        <v>2678.88</v>
      </c>
      <c r="H10" s="140">
        <f>'DRETS R. CORRENT-CAPITAL CAIB'!H9</f>
        <v>2489.8200000000002</v>
      </c>
      <c r="I10" s="140">
        <f>'DRETS R. CORRENT-CAPITAL CAIB'!I9</f>
        <v>2864.9500000000003</v>
      </c>
      <c r="J10" s="140">
        <f>'DRETS R. CORRENT-CAPITAL CAIB'!K9</f>
        <v>2816.23</v>
      </c>
      <c r="K10" s="140">
        <f>'DRETS R. CORRENT-CAPITAL CAIB'!L9</f>
        <v>2973.04</v>
      </c>
      <c r="L10" s="140">
        <f>'DRETS R. CORRENT-CAPITAL CAIB'!M9</f>
        <v>2684.16</v>
      </c>
      <c r="M10" s="140">
        <f>'DRETS R. CORRENT-CAPITAL CAIB'!N9</f>
        <v>3906.2508572299998</v>
      </c>
      <c r="N10" s="140">
        <f>'DRETS R. CORRENT-CAPITAL CAIB'!O9</f>
        <v>2681.2400000000002</v>
      </c>
      <c r="O10" s="140">
        <f>'DRETS R. CORRENT-CAPITAL CAIB'!P9</f>
        <v>2679.0499999999997</v>
      </c>
      <c r="P10" s="140">
        <f>'DRETS R. CORRENT-CAPITAL CAIB'!Q9</f>
        <v>2958.29</v>
      </c>
      <c r="Q10" s="140">
        <f>'DRETS R. CORRENT-CAPITAL CAIB'!R9</f>
        <v>3243.13</v>
      </c>
      <c r="R10" s="140">
        <f>'DRETS R. CORRENT-CAPITAL CAIB'!S9</f>
        <v>3594.75</v>
      </c>
      <c r="S10" s="140">
        <f>'DRETS R. CORRENT-CAPITAL CAIB'!T9</f>
        <v>3892.0699999999997</v>
      </c>
      <c r="T10" s="140">
        <f>'DRETS R. CORRENT-CAPITAL CAIB'!U9</f>
        <v>3934.2300000000009</v>
      </c>
      <c r="U10" s="140">
        <f>'DRETS R. CORRENT-CAPITAL CAIB'!V9</f>
        <v>4470.12</v>
      </c>
      <c r="V10" s="140">
        <f>'DRETS R. CORRENT-CAPITAL CAIB'!W9</f>
        <v>5679.49</v>
      </c>
    </row>
    <row r="11" spans="1:22" ht="17.350000000000001" customHeight="1">
      <c r="A11" s="173" t="s">
        <v>149</v>
      </c>
      <c r="B11" s="135">
        <f>'OBLIGA.R. CORRENT-CAPITAL CAIB'!B9</f>
        <v>546.66</v>
      </c>
      <c r="C11" s="135">
        <f>'OBLIGA.R. CORRENT-CAPITAL CAIB'!C9</f>
        <v>634.17000000000007</v>
      </c>
      <c r="D11" s="135">
        <f>'OBLIGA.R. CORRENT-CAPITAL CAIB'!D9</f>
        <v>698.8</v>
      </c>
      <c r="E11" s="135">
        <f>'OBLIGA.R. CORRENT-CAPITAL CAIB'!E9</f>
        <v>1530.6299999999999</v>
      </c>
      <c r="F11" s="135">
        <f>'OBLIGA.R. CORRENT-CAPITAL CAIB'!F9</f>
        <v>1694.0099999999998</v>
      </c>
      <c r="G11" s="135">
        <f>'OBLIGA.R. CORRENT-CAPITAL CAIB'!G9</f>
        <v>1773.9900000000002</v>
      </c>
      <c r="H11" s="135">
        <f>'OBLIGA.R. CORRENT-CAPITAL CAIB'!H9</f>
        <v>2361.6999999999998</v>
      </c>
      <c r="I11" s="135">
        <f>'OBLIGA.R. CORRENT-CAPITAL CAIB'!I9</f>
        <v>2379.77</v>
      </c>
      <c r="J11" s="135">
        <f>'OBLIGA.R. CORRENT-CAPITAL CAIB'!K9</f>
        <v>2909.6800000000003</v>
      </c>
      <c r="K11" s="135">
        <f>'OBLIGA.R. CORRENT-CAPITAL CAIB'!L9</f>
        <v>3100.3199999999997</v>
      </c>
      <c r="L11" s="135">
        <f>'OBLIGA.R. CORRENT-CAPITAL CAIB'!M9</f>
        <v>3113.7300000000005</v>
      </c>
      <c r="M11" s="135">
        <f>'OBLIGA.R. CORRENT-CAPITAL CAIB'!N9</f>
        <v>4586.9573306900002</v>
      </c>
      <c r="N11" s="135">
        <f>'OBLIGA.R. CORRENT-CAPITAL CAIB'!O9</f>
        <v>2672.5099999999998</v>
      </c>
      <c r="O11" s="135">
        <f>'OBLIGA.R. CORRENT-CAPITAL CAIB'!P9</f>
        <v>2775.96</v>
      </c>
      <c r="P11" s="135">
        <f>'OBLIGA.R. CORRENT-CAPITAL CAIB'!Q9</f>
        <v>2910.01</v>
      </c>
      <c r="Q11" s="135">
        <f>'OBLIGA.R. CORRENT-CAPITAL CAIB'!R9</f>
        <v>3013.38</v>
      </c>
      <c r="R11" s="135">
        <f>'OBLIGA.R. CORRENT-CAPITAL CAIB'!S9</f>
        <v>3295.81</v>
      </c>
      <c r="S11" s="135">
        <f>'OBLIGA.R. CORRENT-CAPITAL CAIB'!T9</f>
        <v>3456.3300000000004</v>
      </c>
      <c r="T11" s="135">
        <f>'OBLIGA.R. CORRENT-CAPITAL CAIB'!U9</f>
        <v>3785.7700000000004</v>
      </c>
      <c r="U11" s="135">
        <f>'OBLIGA.R. CORRENT-CAPITAL CAIB'!V9</f>
        <v>4064.89</v>
      </c>
      <c r="V11" s="135">
        <f>'OBLIGA.R. CORRENT-CAPITAL CAIB'!W9</f>
        <v>4925.46</v>
      </c>
    </row>
    <row r="12" spans="1:22" ht="9" customHeight="1" thickBot="1">
      <c r="A12" s="94"/>
      <c r="B12" s="168"/>
      <c r="C12" s="168"/>
      <c r="D12" s="168"/>
      <c r="E12" s="168"/>
      <c r="F12" s="168"/>
      <c r="G12" s="135"/>
      <c r="H12" s="135"/>
      <c r="I12" s="248"/>
    </row>
    <row r="13" spans="1:22" ht="18" customHeight="1" thickTop="1" thickBot="1">
      <c r="A13" s="221" t="s">
        <v>150</v>
      </c>
      <c r="B13" s="210">
        <f t="shared" ref="B13:I13" si="0">B10-B11</f>
        <v>249.64</v>
      </c>
      <c r="C13" s="210">
        <f t="shared" si="0"/>
        <v>239.55999999999995</v>
      </c>
      <c r="D13" s="210">
        <f t="shared" si="0"/>
        <v>160.7700000000001</v>
      </c>
      <c r="E13" s="210">
        <f t="shared" si="0"/>
        <v>277.31000000000017</v>
      </c>
      <c r="F13" s="210">
        <f t="shared" si="0"/>
        <v>350.60000000000014</v>
      </c>
      <c r="G13" s="210">
        <f t="shared" si="0"/>
        <v>904.88999999999987</v>
      </c>
      <c r="H13" s="210">
        <f t="shared" si="0"/>
        <v>128.12000000000035</v>
      </c>
      <c r="I13" s="210">
        <f t="shared" si="0"/>
        <v>485.18000000000029</v>
      </c>
      <c r="J13" s="210">
        <f t="shared" ref="J13:L13" si="1">J10-J11</f>
        <v>-93.450000000000273</v>
      </c>
      <c r="K13" s="210">
        <f t="shared" si="1"/>
        <v>-127.27999999999975</v>
      </c>
      <c r="L13" s="210">
        <f t="shared" si="1"/>
        <v>-429.57000000000062</v>
      </c>
      <c r="M13" s="210">
        <f t="shared" ref="M13:N13" si="2">M10-M11</f>
        <v>-680.70647346000032</v>
      </c>
      <c r="N13" s="210">
        <f t="shared" si="2"/>
        <v>8.7300000000004729</v>
      </c>
      <c r="O13" s="210">
        <f>O10-O11</f>
        <v>-96.910000000000309</v>
      </c>
      <c r="P13" s="210">
        <f>P10-P11</f>
        <v>48.279999999999745</v>
      </c>
      <c r="Q13" s="210">
        <f>Q10-Q11</f>
        <v>229.75</v>
      </c>
      <c r="R13" s="210">
        <f t="shared" ref="R13:U13" si="3">R10-R11</f>
        <v>298.94000000000005</v>
      </c>
      <c r="S13" s="210">
        <f t="shared" si="3"/>
        <v>435.73999999999933</v>
      </c>
      <c r="T13" s="210">
        <f t="shared" si="3"/>
        <v>148.46000000000049</v>
      </c>
      <c r="U13" s="210">
        <f t="shared" si="3"/>
        <v>405.23</v>
      </c>
      <c r="V13" s="210">
        <f t="shared" ref="V13" si="4">V10-V11</f>
        <v>754.02999999999975</v>
      </c>
    </row>
    <row r="14" spans="1:22" ht="9" customHeight="1" thickTop="1">
      <c r="A14" s="87"/>
      <c r="B14" s="140"/>
      <c r="C14" s="140"/>
      <c r="D14" s="140"/>
      <c r="E14" s="140"/>
      <c r="F14" s="140"/>
      <c r="G14" s="140"/>
      <c r="H14" s="140"/>
      <c r="I14" s="165"/>
    </row>
    <row r="15" spans="1:22" ht="18.350000000000001">
      <c r="A15" s="174" t="s">
        <v>151</v>
      </c>
      <c r="B15" s="167">
        <f>'OBLIGAGIONS RECON. CAIB '!B17</f>
        <v>50.38</v>
      </c>
      <c r="C15" s="167">
        <f>'OBLIGAGIONS RECON. CAIB '!C17</f>
        <v>8.93</v>
      </c>
      <c r="D15" s="167">
        <f>'OBLIGAGIONS RECON. CAIB '!D17</f>
        <v>4.01</v>
      </c>
      <c r="E15" s="167">
        <f>'OBLIGAGIONS RECON. CAIB '!E17</f>
        <v>4.01</v>
      </c>
      <c r="F15" s="167">
        <f>'OBLIGAGIONS RECON. CAIB '!F17</f>
        <v>6.19</v>
      </c>
      <c r="G15" s="167">
        <f>'OBLIGAGIONS RECON. CAIB '!G17</f>
        <v>10.24</v>
      </c>
      <c r="H15" s="167">
        <f>'OBLIGAGIONS RECON. CAIB '!H17</f>
        <v>42.27</v>
      </c>
      <c r="I15" s="167">
        <f>'OBLIGAGIONS RECON. CAIB '!I17</f>
        <v>42.07</v>
      </c>
      <c r="J15" s="167">
        <f>'OBLIGAGIONS RECON. CAIB '!K17</f>
        <v>42.07</v>
      </c>
      <c r="K15" s="167">
        <f>'OBLIGAGIONS RECON. CAIB '!L17</f>
        <v>79.91</v>
      </c>
      <c r="L15" s="167">
        <f>'OBLIGAGIONS RECON. CAIB '!M17</f>
        <v>69.25</v>
      </c>
      <c r="M15" s="167">
        <f>'OBLIGAGIONS RECON. CAIB '!N17</f>
        <v>480.89786333000001</v>
      </c>
      <c r="N15" s="167">
        <f>'OBLIGAGIONS RECON. CAIB '!O17</f>
        <v>485.45</v>
      </c>
      <c r="O15" s="167">
        <f>'OBLIGAGIONS RECON. CAIB '!P17</f>
        <v>675.74</v>
      </c>
      <c r="P15" s="167">
        <f>'OBLIGAGIONS RECON. CAIB '!Q17</f>
        <v>501.76</v>
      </c>
      <c r="Q15" s="167">
        <f>'OBLIGAGIONS RECON. CAIB '!R17</f>
        <v>709.61</v>
      </c>
      <c r="R15" s="167">
        <f>'OBLIGAGIONS RECON. CAIB '!S17</f>
        <v>804.89</v>
      </c>
      <c r="S15" s="167">
        <f>'OBLIGAGIONS RECON. CAIB '!T17</f>
        <v>860.06</v>
      </c>
      <c r="T15" s="167">
        <f>'OBLIGAGIONS RECON. CAIB '!U17</f>
        <v>988.02</v>
      </c>
      <c r="U15" s="167">
        <f>'OBLIGAGIONS RECON. CAIB '!V17</f>
        <v>1475.92</v>
      </c>
      <c r="V15" s="167">
        <f>'OBLIGAGIONS RECON. CAIB '!W17</f>
        <v>1163.99</v>
      </c>
    </row>
    <row r="16" spans="1:22" ht="9" customHeight="1" thickBot="1">
      <c r="A16" s="94"/>
      <c r="B16" s="168"/>
      <c r="C16" s="168"/>
      <c r="D16" s="168"/>
      <c r="E16" s="168"/>
      <c r="F16" s="168"/>
      <c r="G16" s="135"/>
      <c r="H16" s="135"/>
      <c r="I16" s="165"/>
    </row>
    <row r="17" spans="1:22" ht="18" customHeight="1" thickTop="1" thickBot="1">
      <c r="A17" s="221" t="s">
        <v>152</v>
      </c>
      <c r="B17" s="210">
        <f t="shared" ref="B17:I17" si="5">B13-B15</f>
        <v>199.26</v>
      </c>
      <c r="C17" s="210">
        <f t="shared" si="5"/>
        <v>230.62999999999994</v>
      </c>
      <c r="D17" s="210">
        <f t="shared" si="5"/>
        <v>156.7600000000001</v>
      </c>
      <c r="E17" s="210">
        <f t="shared" si="5"/>
        <v>273.30000000000018</v>
      </c>
      <c r="F17" s="210">
        <f t="shared" si="5"/>
        <v>344.41000000000014</v>
      </c>
      <c r="G17" s="210">
        <f t="shared" si="5"/>
        <v>894.64999999999986</v>
      </c>
      <c r="H17" s="210">
        <f t="shared" si="5"/>
        <v>85.850000000000335</v>
      </c>
      <c r="I17" s="210">
        <f t="shared" si="5"/>
        <v>443.1100000000003</v>
      </c>
      <c r="J17" s="210">
        <f t="shared" ref="J17:L17" si="6">J13-J15</f>
        <v>-135.52000000000027</v>
      </c>
      <c r="K17" s="210">
        <f t="shared" si="6"/>
        <v>-207.18999999999974</v>
      </c>
      <c r="L17" s="210">
        <f t="shared" si="6"/>
        <v>-498.82000000000062</v>
      </c>
      <c r="M17" s="210">
        <f t="shared" ref="M17" si="7">M13-M15</f>
        <v>-1161.6043367900004</v>
      </c>
      <c r="N17" s="210">
        <f>N13-N15</f>
        <v>-476.71999999999952</v>
      </c>
      <c r="O17" s="210">
        <f>O13-O15</f>
        <v>-772.65000000000032</v>
      </c>
      <c r="P17" s="210">
        <f>P13-P15</f>
        <v>-453.48000000000025</v>
      </c>
      <c r="Q17" s="210">
        <f>Q13-Q15</f>
        <v>-479.86</v>
      </c>
      <c r="R17" s="210">
        <f t="shared" ref="R17:U17" si="8">R13-R15</f>
        <v>-505.94999999999993</v>
      </c>
      <c r="S17" s="210">
        <f t="shared" si="8"/>
        <v>-424.32000000000062</v>
      </c>
      <c r="T17" s="210">
        <f t="shared" si="8"/>
        <v>-839.55999999999949</v>
      </c>
      <c r="U17" s="210">
        <f t="shared" si="8"/>
        <v>-1070.69</v>
      </c>
      <c r="V17" s="210">
        <f t="shared" ref="V17" si="9">V13-V15</f>
        <v>-409.96000000000026</v>
      </c>
    </row>
    <row r="18" spans="1:22" ht="13.6" thickTop="1"/>
    <row r="24" spans="1:22">
      <c r="B24">
        <v>2013</v>
      </c>
      <c r="D24">
        <v>3775.53</v>
      </c>
      <c r="E24">
        <v>3988.22</v>
      </c>
      <c r="F24">
        <f>E24/D24*100</f>
        <v>105.63338127362249</v>
      </c>
    </row>
    <row r="43" spans="1:20" ht="14.45" customHeight="1">
      <c r="A43" s="491" t="s">
        <v>197</v>
      </c>
      <c r="B43" s="491"/>
      <c r="C43" s="491"/>
      <c r="D43" s="491"/>
      <c r="E43" s="491"/>
      <c r="F43" s="491"/>
      <c r="G43" s="491"/>
      <c r="H43" s="491"/>
      <c r="I43" s="491"/>
      <c r="J43" s="491"/>
      <c r="K43" s="491"/>
      <c r="L43" s="491"/>
      <c r="M43" s="491"/>
      <c r="N43" s="491"/>
      <c r="O43" s="491"/>
      <c r="P43" s="491"/>
      <c r="Q43" s="502"/>
      <c r="R43" s="508"/>
      <c r="S43" s="519"/>
      <c r="T43" s="491"/>
    </row>
    <row r="44" spans="1:20" ht="15.65" customHeight="1">
      <c r="A44" s="526" t="s">
        <v>221</v>
      </c>
      <c r="B44" s="491"/>
      <c r="C44" s="491"/>
      <c r="D44" s="491"/>
      <c r="E44" s="491"/>
      <c r="F44" s="491"/>
      <c r="G44" s="491"/>
      <c r="H44" s="491"/>
      <c r="I44" s="491"/>
      <c r="J44" s="491"/>
      <c r="K44" s="491"/>
      <c r="L44" s="491"/>
      <c r="M44" s="491"/>
      <c r="N44" s="491"/>
      <c r="O44" s="491"/>
      <c r="P44" s="491"/>
      <c r="Q44" s="502"/>
      <c r="R44" s="508"/>
      <c r="S44" s="519"/>
      <c r="T44" s="491"/>
    </row>
    <row r="45" spans="1:20" ht="12.75" customHeight="1">
      <c r="A45" s="41" t="s">
        <v>222</v>
      </c>
      <c r="B45" s="526"/>
      <c r="C45" s="526"/>
      <c r="D45" s="526"/>
      <c r="E45" s="526"/>
      <c r="F45" s="526"/>
      <c r="G45" s="526"/>
      <c r="H45" s="526"/>
      <c r="I45" s="526"/>
      <c r="J45" s="526"/>
      <c r="K45" s="526"/>
      <c r="L45" s="526"/>
      <c r="M45" s="526"/>
      <c r="N45" s="526"/>
      <c r="O45" s="526"/>
      <c r="P45" s="526"/>
      <c r="Q45" s="526"/>
      <c r="R45" s="526"/>
      <c r="S45" s="526"/>
      <c r="T45" s="526"/>
    </row>
    <row r="46" spans="1:20" ht="19.55" customHeight="1">
      <c r="B46" s="491"/>
      <c r="C46" s="491"/>
      <c r="D46" s="491"/>
      <c r="E46" s="491"/>
      <c r="F46" s="491"/>
      <c r="G46" s="491"/>
      <c r="H46" s="491"/>
      <c r="I46" s="491"/>
      <c r="J46" s="491"/>
      <c r="K46" s="491"/>
      <c r="L46" s="491"/>
      <c r="M46" s="491"/>
      <c r="N46" s="428"/>
      <c r="O46" s="491"/>
      <c r="P46" s="491"/>
      <c r="Q46" s="502"/>
      <c r="R46" s="508"/>
      <c r="S46" s="519"/>
      <c r="T46" s="491"/>
    </row>
    <row r="47" spans="1:20" ht="17.350000000000001" customHeight="1"/>
  </sheetData>
  <mergeCells count="1">
    <mergeCell ref="A4:V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tabColor rgb="FF00B050"/>
  </sheetPr>
  <dimension ref="A1:X41"/>
  <sheetViews>
    <sheetView showGridLines="0" topLeftCell="A4" zoomScaleNormal="100" workbookViewId="0">
      <selection activeCell="W14" sqref="W14"/>
    </sheetView>
  </sheetViews>
  <sheetFormatPr baseColWidth="10" defaultColWidth="9.125" defaultRowHeight="15.65"/>
  <cols>
    <col min="1" max="1" width="35.875" style="7" customWidth="1"/>
    <col min="2" max="3" width="11.375" style="7" hidden="1" customWidth="1"/>
    <col min="4" max="4" width="12.125" style="7" hidden="1" customWidth="1"/>
    <col min="5" max="8" width="12.125" style="4" hidden="1" customWidth="1"/>
    <col min="9" max="13" width="12.125" hidden="1" customWidth="1"/>
    <col min="14" max="23" width="13.25" customWidth="1"/>
    <col min="24" max="24" width="10.875" bestFit="1" customWidth="1"/>
  </cols>
  <sheetData>
    <row r="1" spans="1:24" ht="18" customHeight="1">
      <c r="A1" s="47"/>
      <c r="B1" s="3"/>
      <c r="C1" s="3"/>
      <c r="D1" s="3"/>
    </row>
    <row r="2" spans="1:24" ht="18" customHeight="1">
      <c r="A2" s="47"/>
      <c r="B2" s="3"/>
      <c r="C2" s="3"/>
      <c r="D2" s="3"/>
    </row>
    <row r="3" spans="1:24" s="42" customFormat="1" ht="18" customHeight="1"/>
    <row r="4" spans="1:24" s="42" customFormat="1" ht="20.399999999999999">
      <c r="A4" s="594" t="s">
        <v>235</v>
      </c>
      <c r="B4" s="594"/>
      <c r="C4" s="594"/>
      <c r="D4" s="594"/>
      <c r="E4" s="594"/>
      <c r="F4" s="594"/>
      <c r="G4" s="594"/>
      <c r="H4" s="594"/>
      <c r="I4" s="594"/>
      <c r="J4" s="594"/>
      <c r="K4" s="594"/>
      <c r="L4" s="594"/>
      <c r="M4" s="594"/>
      <c r="N4" s="594"/>
      <c r="O4" s="594"/>
      <c r="P4" s="594"/>
      <c r="Q4" s="594"/>
      <c r="R4" s="594"/>
      <c r="S4" s="594"/>
      <c r="T4" s="594"/>
      <c r="U4" s="594"/>
      <c r="V4" s="594"/>
      <c r="W4" s="594"/>
    </row>
    <row r="5" spans="1:24" s="42" customFormat="1" ht="18" customHeight="1">
      <c r="A5" s="104"/>
      <c r="B5" s="104"/>
      <c r="C5" s="104"/>
      <c r="D5" s="104"/>
      <c r="E5" s="104"/>
      <c r="F5" s="104"/>
      <c r="G5" s="104"/>
      <c r="H5" s="104"/>
    </row>
    <row r="6" spans="1:24" ht="12.1" customHeight="1">
      <c r="A6" s="49"/>
      <c r="B6" s="49"/>
      <c r="C6" s="49"/>
      <c r="D6" s="49"/>
    </row>
    <row r="7" spans="1:24" ht="18.350000000000001">
      <c r="A7" s="43" t="s">
        <v>199</v>
      </c>
      <c r="B7" s="151">
        <v>1999</v>
      </c>
      <c r="C7" s="151">
        <v>2000</v>
      </c>
      <c r="D7" s="151">
        <v>2001</v>
      </c>
      <c r="E7" s="152">
        <v>2002</v>
      </c>
      <c r="F7" s="79">
        <v>2003</v>
      </c>
      <c r="G7" s="79">
        <v>2004</v>
      </c>
      <c r="H7" s="79">
        <v>2005</v>
      </c>
      <c r="I7" s="87">
        <v>2006</v>
      </c>
      <c r="J7" s="87">
        <v>2007</v>
      </c>
      <c r="K7" s="152">
        <v>2008</v>
      </c>
      <c r="L7" s="152">
        <v>2009</v>
      </c>
      <c r="M7" s="152">
        <v>2010</v>
      </c>
      <c r="N7" s="151">
        <v>2012</v>
      </c>
      <c r="O7" s="151">
        <v>2013</v>
      </c>
      <c r="P7" s="151">
        <v>2014</v>
      </c>
      <c r="Q7" s="151">
        <v>2015</v>
      </c>
      <c r="R7" s="151">
        <v>2016</v>
      </c>
      <c r="S7" s="151">
        <v>2017</v>
      </c>
      <c r="T7" s="151">
        <v>2018</v>
      </c>
      <c r="U7" s="151">
        <v>2019</v>
      </c>
      <c r="V7" s="151">
        <v>2020</v>
      </c>
      <c r="W7" s="151">
        <v>2021</v>
      </c>
    </row>
    <row r="8" spans="1:24" ht="5.95" customHeight="1" thickBot="1">
      <c r="A8" s="175"/>
      <c r="B8" s="156"/>
      <c r="C8" s="156"/>
      <c r="D8" s="156"/>
      <c r="E8" s="156"/>
      <c r="F8" s="86"/>
      <c r="G8" s="86"/>
      <c r="H8" s="86"/>
      <c r="I8" s="248"/>
      <c r="J8" s="248"/>
      <c r="K8" s="248"/>
      <c r="L8" s="157"/>
      <c r="M8" s="157"/>
      <c r="N8" s="157"/>
      <c r="O8" s="157"/>
      <c r="P8" s="157"/>
      <c r="Q8" s="157"/>
      <c r="R8" s="157"/>
      <c r="S8" s="157"/>
      <c r="T8" s="157"/>
      <c r="U8" s="157"/>
      <c r="V8" s="157"/>
      <c r="W8" s="157"/>
    </row>
    <row r="9" spans="1:24" ht="9" customHeight="1" thickTop="1">
      <c r="A9" s="176"/>
      <c r="B9" s="177"/>
      <c r="C9" s="177"/>
      <c r="D9" s="177"/>
      <c r="E9" s="177"/>
      <c r="F9" s="111"/>
      <c r="G9" s="111"/>
      <c r="H9" s="111"/>
      <c r="I9" s="165"/>
      <c r="J9" s="165"/>
    </row>
    <row r="10" spans="1:24" ht="21.1" customHeight="1">
      <c r="A10" s="179" t="s">
        <v>153</v>
      </c>
      <c r="B10" s="178">
        <f>'DRETS RECONEGUTS CAIB'!B20</f>
        <v>900.11284471049248</v>
      </c>
      <c r="C10" s="178">
        <f>'DRETS RECONEGUTS CAIB'!C20-0</f>
        <v>953.44420119481208</v>
      </c>
      <c r="D10" s="178">
        <f>'DRETS RECONEGUTS CAIB'!D20-0.01</f>
        <v>1064.5890124169102</v>
      </c>
      <c r="E10" s="178">
        <f>'DRETS RECONEGUTS CAIB'!E20-0.36</f>
        <v>2017.5541167900003</v>
      </c>
      <c r="F10" s="178">
        <f>'DRETS RECONEGUTS CAIB'!F20-0.04</f>
        <v>2112.7799999999997</v>
      </c>
      <c r="G10" s="178">
        <f>'DRETS RECONEGUTS CAIB'!G20-0.02</f>
        <v>2753.95</v>
      </c>
      <c r="H10" s="178">
        <f>'DRETS RECONEGUTS CAIB'!H20-0.07</f>
        <v>2915.7599999999998</v>
      </c>
      <c r="I10" s="178">
        <f>'DRETS RECONEGUTS CAIB'!I20-0.07</f>
        <v>3057.5200000000004</v>
      </c>
      <c r="J10" s="178">
        <f>'DRETS RECONEGUTS CAIB'!J20-0</f>
        <v>3110.9499999999994</v>
      </c>
      <c r="K10" s="178">
        <f>'DRETS RECONEGUTS CAIB'!K20-0.01</f>
        <v>3450.7799999999997</v>
      </c>
      <c r="L10" s="178">
        <f>'DRETS RECONEGUTS CAIB'!L20-0.01</f>
        <v>4300.32</v>
      </c>
      <c r="M10" s="178">
        <f>'DRETS RECONEGUTS CAIB'!M20-0.11</f>
        <v>3384.5599999999995</v>
      </c>
      <c r="N10" s="178">
        <f>'DRETS RECONEGUTS CAIB'!N20</f>
        <v>5618.88318084</v>
      </c>
      <c r="O10" s="178">
        <f>'DRETS RECONEGUTS CAIB'!O20</f>
        <v>3988.2200000000003</v>
      </c>
      <c r="P10" s="178">
        <f>'DRETS RECONEGUTS CAIB'!P20</f>
        <v>4390.4399999999996</v>
      </c>
      <c r="Q10" s="178">
        <f>'DRETS RECONEGUTS CAIB'!Q20</f>
        <v>4152.49</v>
      </c>
      <c r="R10" s="178">
        <f>'DRETS RECONEGUTS CAIB'!R20</f>
        <v>4539.41</v>
      </c>
      <c r="S10" s="178">
        <f>'DRETS RECONEGUTS CAIB'!S20</f>
        <v>4962.5600000000004</v>
      </c>
      <c r="T10" s="178">
        <f>'DRETS RECONEGUTS CAIB'!T20</f>
        <v>4816.62</v>
      </c>
      <c r="U10" s="178">
        <f>'DRETS RECONEGUTS CAIB'!U20</f>
        <v>5219.2100000000009</v>
      </c>
      <c r="V10" s="178">
        <f>'DRETS RECONEGUTS CAIB'!V20</f>
        <v>6309.52</v>
      </c>
      <c r="W10" s="178">
        <f>'DRETS RECONEGUTS CAIB'!W20</f>
        <v>7069.0499999999993</v>
      </c>
    </row>
    <row r="11" spans="1:24" ht="6.8" customHeight="1"/>
    <row r="12" spans="1:24" ht="21.1" customHeight="1">
      <c r="A12" s="179" t="s">
        <v>154</v>
      </c>
      <c r="B12" s="178">
        <f>'OBLIGA.R. CORRENT-CAPITAL CAIB'!B13</f>
        <v>880.9</v>
      </c>
      <c r="C12" s="178">
        <f>'OBLIGA.R. CORRENT-CAPITAL CAIB'!C13</f>
        <v>942.38</v>
      </c>
      <c r="D12" s="178">
        <f>'OBLIGA.R. CORRENT-CAPITAL CAIB'!D13</f>
        <v>1013.3</v>
      </c>
      <c r="E12" s="178">
        <f>'OBLIGA.R. CORRENT-CAPITAL CAIB'!E13</f>
        <v>1992.3</v>
      </c>
      <c r="F12" s="178">
        <f>'OBLIGA.R. CORRENT-CAPITAL CAIB'!F13</f>
        <v>2135.0899999999997</v>
      </c>
      <c r="G12" s="178">
        <f>'OBLIGA.R. CORRENT-CAPITAL CAIB'!G13</f>
        <v>2314.91</v>
      </c>
      <c r="H12" s="178">
        <f>'OBLIGA.R. CORRENT-CAPITAL CAIB'!H13</f>
        <v>2988.6299999999997</v>
      </c>
      <c r="I12" s="178">
        <f>'OBLIGA.R. CORRENT-CAPITAL CAIB'!I13</f>
        <v>2957.2599999999998</v>
      </c>
      <c r="J12" s="178">
        <f>'OBLIGA.R. CORRENT-CAPITAL CAIB'!J13</f>
        <v>3307.02</v>
      </c>
      <c r="K12" s="178">
        <f>'OBLIGA.R. CORRENT-CAPITAL CAIB'!K13</f>
        <v>3635.7100000000005</v>
      </c>
      <c r="L12" s="178">
        <f>'OBLIGA.R. CORRENT-CAPITAL CAIB'!L13</f>
        <v>3964.56</v>
      </c>
      <c r="M12" s="178">
        <f>'OBLIGA.R. CORRENT-CAPITAL CAIB'!M13</f>
        <v>3865.5100000000007</v>
      </c>
      <c r="N12" s="178">
        <f>'OBLIGA.R. CORRENT-CAPITAL CAIB'!N13</f>
        <v>5628.3243755800004</v>
      </c>
      <c r="O12" s="178">
        <f>'OBLIGA.R. CORRENT-CAPITAL CAIB'!O13</f>
        <v>3579.9199999999996</v>
      </c>
      <c r="P12" s="178">
        <f>'OBLIGA.R. CORRENT-CAPITAL CAIB'!P13</f>
        <v>4186.4800000000005</v>
      </c>
      <c r="Q12" s="178">
        <f>'OBLIGA.R. CORRENT-CAPITAL CAIB'!Q13</f>
        <v>3998.36</v>
      </c>
      <c r="R12" s="178">
        <f>'OBLIGA.R. CORRENT-CAPITAL CAIB'!R13</f>
        <v>4307.2700000000004</v>
      </c>
      <c r="S12" s="178">
        <f>'OBLIGA.R. CORRENT-CAPITAL CAIB'!S13</f>
        <v>4697.9399999999996</v>
      </c>
      <c r="T12" s="178">
        <f>'OBLIGA.R. CORRENT-CAPITAL CAIB'!T13</f>
        <v>5021.420000000001</v>
      </c>
      <c r="U12" s="178">
        <f>'OBLIGA.R. CORRENT-CAPITAL CAIB'!U13</f>
        <v>5429.68</v>
      </c>
      <c r="V12" s="178">
        <f>'OBLIGA.R. CORRENT-CAPITAL CAIB'!V13</f>
        <v>6146.1</v>
      </c>
      <c r="W12" s="178">
        <f>'OBLIGA.R. CORRENT-CAPITAL CAIB'!W13</f>
        <v>6706.0199999999995</v>
      </c>
    </row>
    <row r="13" spans="1:24" ht="5.3" customHeight="1" thickBot="1">
      <c r="A13" s="156"/>
      <c r="B13" s="156"/>
      <c r="C13" s="156"/>
      <c r="D13" s="156"/>
      <c r="E13" s="156"/>
      <c r="F13" s="86"/>
      <c r="G13" s="111"/>
      <c r="H13" s="111"/>
      <c r="I13" s="165"/>
      <c r="J13" s="165"/>
    </row>
    <row r="14" spans="1:24" ht="23.95" customHeight="1" thickTop="1" thickBot="1">
      <c r="A14" s="222" t="s">
        <v>4</v>
      </c>
      <c r="B14" s="223">
        <f t="shared" ref="B14:L14" si="0">B10-B16-B12</f>
        <v>13.752844710492468</v>
      </c>
      <c r="C14" s="223">
        <f t="shared" si="0"/>
        <v>-13.945798805187906</v>
      </c>
      <c r="D14" s="223">
        <f t="shared" si="0"/>
        <v>-34.077657837798597</v>
      </c>
      <c r="E14" s="223">
        <f t="shared" si="0"/>
        <v>6.8641167900002529</v>
      </c>
      <c r="F14" s="223">
        <f t="shared" si="0"/>
        <v>-27.9699999999998</v>
      </c>
      <c r="G14" s="223">
        <f t="shared" si="0"/>
        <v>425.40999999999985</v>
      </c>
      <c r="H14" s="223">
        <f t="shared" si="0"/>
        <v>-83.779999999999745</v>
      </c>
      <c r="I14" s="223">
        <f t="shared" si="0"/>
        <v>92.390000000000782</v>
      </c>
      <c r="J14" s="223">
        <f t="shared" si="0"/>
        <v>-204.96000000000049</v>
      </c>
      <c r="K14" s="223">
        <f t="shared" si="0"/>
        <v>-194.76000000000067</v>
      </c>
      <c r="L14" s="223">
        <f t="shared" si="0"/>
        <v>323.30999999999995</v>
      </c>
      <c r="M14" s="223">
        <f>M10-M12</f>
        <v>-480.95000000000118</v>
      </c>
      <c r="N14" s="223">
        <f t="shared" ref="N14:V14" si="1">N10-N12</f>
        <v>-9.4411947400003555</v>
      </c>
      <c r="O14" s="223">
        <f t="shared" si="1"/>
        <v>408.30000000000064</v>
      </c>
      <c r="P14" s="223">
        <f t="shared" si="1"/>
        <v>203.95999999999913</v>
      </c>
      <c r="Q14" s="223">
        <f t="shared" si="1"/>
        <v>154.12999999999965</v>
      </c>
      <c r="R14" s="223">
        <f t="shared" si="1"/>
        <v>232.13999999999942</v>
      </c>
      <c r="S14" s="223">
        <f t="shared" si="1"/>
        <v>264.6200000000008</v>
      </c>
      <c r="T14" s="223">
        <f t="shared" si="1"/>
        <v>-204.80000000000109</v>
      </c>
      <c r="U14" s="223">
        <f t="shared" si="1"/>
        <v>-210.46999999999935</v>
      </c>
      <c r="V14" s="223">
        <f t="shared" si="1"/>
        <v>163.42000000000007</v>
      </c>
      <c r="W14" s="223">
        <f t="shared" ref="W14" si="2">W10-W12</f>
        <v>363.02999999999975</v>
      </c>
    </row>
    <row r="15" spans="1:24" ht="7.5" customHeight="1" thickTop="1"/>
    <row r="16" spans="1:24" s="527" customFormat="1" ht="18.7" customHeight="1">
      <c r="A16" s="528" t="s">
        <v>227</v>
      </c>
      <c r="B16" s="529">
        <v>5.46</v>
      </c>
      <c r="C16" s="529">
        <v>25.01</v>
      </c>
      <c r="D16" s="529">
        <f>14203818797/166.386/1000000</f>
        <v>85.366670254708936</v>
      </c>
      <c r="E16" s="529">
        <v>18.39</v>
      </c>
      <c r="F16" s="529">
        <v>5.66</v>
      </c>
      <c r="G16" s="529">
        <v>13.63</v>
      </c>
      <c r="H16" s="529">
        <v>10.91</v>
      </c>
      <c r="I16" s="529">
        <v>7.87</v>
      </c>
      <c r="J16" s="529">
        <v>8.89</v>
      </c>
      <c r="K16" s="529">
        <v>9.83</v>
      </c>
      <c r="L16" s="529">
        <v>12.45</v>
      </c>
      <c r="M16" s="529">
        <v>15.26</v>
      </c>
      <c r="N16" s="529">
        <v>9.85</v>
      </c>
      <c r="O16" s="529">
        <f>8.3+6.19</f>
        <v>14.490000000000002</v>
      </c>
      <c r="P16" s="529">
        <v>25.41</v>
      </c>
      <c r="Q16" s="529">
        <v>38.78</v>
      </c>
      <c r="R16" s="529">
        <v>25.16</v>
      </c>
      <c r="S16" s="529">
        <v>25.16</v>
      </c>
      <c r="T16" s="529">
        <v>619.14</v>
      </c>
      <c r="U16" s="529">
        <v>29.57</v>
      </c>
      <c r="V16" s="529">
        <v>67.150000000000006</v>
      </c>
      <c r="W16" s="529">
        <v>25.71</v>
      </c>
      <c r="X16" s="537"/>
    </row>
    <row r="17" spans="1:22" s="527" customFormat="1" ht="23.95" customHeight="1">
      <c r="A17" s="179"/>
      <c r="B17" s="178"/>
      <c r="C17" s="178"/>
      <c r="D17" s="178"/>
      <c r="E17" s="178"/>
      <c r="F17" s="178"/>
      <c r="G17" s="178"/>
      <c r="H17" s="178"/>
      <c r="I17" s="178"/>
      <c r="J17" s="178"/>
      <c r="K17" s="178"/>
      <c r="L17" s="178"/>
      <c r="M17" s="178"/>
      <c r="N17" s="178"/>
      <c r="O17" s="178"/>
      <c r="P17" s="178"/>
      <c r="Q17" s="178"/>
      <c r="R17" s="178"/>
      <c r="S17" s="178"/>
      <c r="T17" s="178"/>
      <c r="U17" s="178"/>
      <c r="V17" s="178"/>
    </row>
    <row r="18" spans="1:22">
      <c r="A18" s="49"/>
      <c r="B18" s="49"/>
      <c r="C18" s="49"/>
      <c r="D18" s="49"/>
    </row>
    <row r="19" spans="1:22">
      <c r="A19" s="49"/>
      <c r="B19" s="49"/>
      <c r="C19" s="49"/>
      <c r="D19" s="49"/>
    </row>
    <row r="20" spans="1:22">
      <c r="A20" s="50"/>
      <c r="B20" s="49"/>
      <c r="C20" s="49"/>
      <c r="D20" s="49"/>
      <c r="O20" s="35"/>
    </row>
    <row r="21" spans="1:22">
      <c r="A21" s="51"/>
      <c r="B21" s="51"/>
      <c r="C21" s="51"/>
      <c r="D21" s="4"/>
      <c r="G21"/>
      <c r="H21"/>
    </row>
    <row r="22" spans="1:22">
      <c r="D22" s="4"/>
      <c r="G22"/>
      <c r="H22"/>
    </row>
    <row r="23" spans="1:22">
      <c r="D23" s="4"/>
      <c r="G23"/>
      <c r="H23"/>
    </row>
    <row r="27" spans="1:22">
      <c r="B27" s="7">
        <v>2013</v>
      </c>
      <c r="D27" s="7">
        <v>3775.53</v>
      </c>
      <c r="E27" s="4">
        <v>3988.22</v>
      </c>
      <c r="F27" s="4">
        <f>E27/D27*100</f>
        <v>105.63338127362249</v>
      </c>
    </row>
    <row r="38" spans="1:22" ht="12.75" customHeight="1">
      <c r="A38" s="491" t="s">
        <v>197</v>
      </c>
      <c r="B38" s="491"/>
      <c r="C38" s="491"/>
      <c r="D38" s="491"/>
      <c r="E38" s="491"/>
      <c r="F38" s="491"/>
      <c r="G38" s="491"/>
      <c r="H38" s="491"/>
      <c r="I38" s="491"/>
      <c r="J38" s="491"/>
      <c r="K38" s="491"/>
      <c r="L38" s="491"/>
      <c r="M38" s="491"/>
      <c r="N38" s="491"/>
      <c r="O38" s="491"/>
      <c r="P38" s="491"/>
      <c r="Q38" s="491"/>
      <c r="R38" s="502"/>
      <c r="S38" s="508"/>
      <c r="T38" s="519"/>
      <c r="U38" s="491"/>
      <c r="V38" s="534"/>
    </row>
    <row r="39" spans="1:22" ht="12.75" customHeight="1">
      <c r="A39" s="526" t="s">
        <v>221</v>
      </c>
      <c r="B39" s="491"/>
      <c r="C39" s="491"/>
      <c r="D39" s="491"/>
      <c r="E39" s="491"/>
      <c r="F39" s="491"/>
      <c r="G39" s="491"/>
      <c r="H39" s="491"/>
      <c r="I39" s="491"/>
      <c r="J39" s="491"/>
      <c r="K39" s="491"/>
      <c r="L39" s="491"/>
      <c r="M39" s="491"/>
      <c r="N39" s="491"/>
      <c r="O39" s="491"/>
      <c r="P39" s="491"/>
      <c r="Q39" s="491"/>
      <c r="R39" s="502"/>
      <c r="S39" s="508"/>
      <c r="T39" s="519"/>
      <c r="U39" s="491"/>
      <c r="V39" s="534"/>
    </row>
    <row r="40" spans="1:22" ht="14.95" customHeight="1">
      <c r="A40" s="41" t="s">
        <v>222</v>
      </c>
      <c r="B40" s="526"/>
      <c r="C40" s="526"/>
      <c r="D40" s="526"/>
      <c r="E40" s="526"/>
      <c r="F40" s="526"/>
      <c r="G40" s="526"/>
      <c r="H40" s="526"/>
      <c r="I40" s="526"/>
      <c r="J40" s="526"/>
      <c r="K40" s="526"/>
      <c r="L40" s="526"/>
      <c r="M40" s="526"/>
      <c r="N40" s="526"/>
      <c r="O40" s="526"/>
      <c r="P40" s="526"/>
      <c r="Q40" s="526"/>
      <c r="R40" s="526"/>
      <c r="S40" s="526"/>
      <c r="T40" s="526"/>
      <c r="U40" s="526"/>
      <c r="V40" s="534"/>
    </row>
    <row r="41" spans="1:22" ht="19.55" customHeight="1">
      <c r="B41" s="491"/>
      <c r="C41" s="491"/>
      <c r="D41" s="491"/>
      <c r="E41" s="491"/>
      <c r="F41" s="491"/>
      <c r="G41" s="491"/>
      <c r="H41" s="491"/>
      <c r="I41" s="491"/>
      <c r="J41" s="491"/>
      <c r="K41" s="491"/>
      <c r="L41" s="491"/>
      <c r="M41" s="491"/>
      <c r="N41" s="491"/>
      <c r="O41" s="428"/>
      <c r="P41" s="491"/>
      <c r="Q41" s="491"/>
      <c r="R41" s="502"/>
      <c r="S41" s="508"/>
      <c r="T41" s="519"/>
      <c r="U41" s="491"/>
      <c r="V41" s="534"/>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1">
    <tabColor rgb="FF00B050"/>
  </sheetPr>
  <dimension ref="A1:W41"/>
  <sheetViews>
    <sheetView showGridLines="0" zoomScaleNormal="100" workbookViewId="0">
      <selection activeCell="W16" sqref="W16"/>
    </sheetView>
  </sheetViews>
  <sheetFormatPr baseColWidth="10" defaultColWidth="9.125" defaultRowHeight="15.65"/>
  <cols>
    <col min="1" max="1" width="39.75" style="7" customWidth="1"/>
    <col min="2" max="3" width="11.375" style="7" hidden="1" customWidth="1"/>
    <col min="4" max="4" width="12.125" style="7" hidden="1" customWidth="1"/>
    <col min="5" max="8" width="12.125" style="4" hidden="1" customWidth="1"/>
    <col min="9" max="11" width="12.125" hidden="1" customWidth="1"/>
    <col min="12" max="13" width="12.25" hidden="1" customWidth="1"/>
    <col min="14" max="23" width="12.75" customWidth="1"/>
  </cols>
  <sheetData>
    <row r="1" spans="1:23" ht="18" customHeight="1">
      <c r="A1" s="47"/>
      <c r="B1" s="3"/>
      <c r="C1" s="3"/>
      <c r="D1" s="3"/>
    </row>
    <row r="2" spans="1:23" ht="18" customHeight="1">
      <c r="A2" s="47"/>
      <c r="B2" s="3"/>
      <c r="C2" s="3"/>
      <c r="D2" s="3"/>
    </row>
    <row r="3" spans="1:23" ht="18" customHeight="1">
      <c r="A3" s="48"/>
    </row>
    <row r="4" spans="1:23" s="42" customFormat="1" ht="20.399999999999999">
      <c r="A4" s="594" t="s">
        <v>236</v>
      </c>
      <c r="B4" s="594"/>
      <c r="C4" s="594"/>
      <c r="D4" s="594"/>
      <c r="E4" s="594"/>
      <c r="F4" s="594"/>
      <c r="G4" s="594"/>
      <c r="H4" s="594"/>
      <c r="I4" s="594"/>
      <c r="J4" s="594"/>
      <c r="K4" s="594"/>
      <c r="L4" s="594"/>
      <c r="M4" s="594"/>
      <c r="N4" s="594"/>
      <c r="O4" s="594"/>
      <c r="P4" s="594"/>
      <c r="Q4" s="594"/>
      <c r="R4" s="594"/>
      <c r="S4" s="594"/>
      <c r="T4" s="594"/>
      <c r="U4" s="594"/>
      <c r="V4" s="594"/>
      <c r="W4" s="594"/>
    </row>
    <row r="5" spans="1:23" s="42" customFormat="1" ht="18" customHeight="1">
      <c r="A5" s="171"/>
      <c r="B5" s="171"/>
      <c r="C5" s="171"/>
      <c r="D5" s="171"/>
      <c r="E5" s="171"/>
      <c r="F5" s="171"/>
      <c r="G5" s="171"/>
      <c r="H5" s="171"/>
    </row>
    <row r="6" spans="1:23" ht="18" customHeight="1">
      <c r="A6" s="49"/>
      <c r="B6" s="49"/>
      <c r="C6" s="49"/>
      <c r="D6" s="49"/>
    </row>
    <row r="7" spans="1:23" ht="18.350000000000001">
      <c r="A7" s="43" t="s">
        <v>199</v>
      </c>
      <c r="B7" s="151">
        <v>1999</v>
      </c>
      <c r="C7" s="151">
        <v>2000</v>
      </c>
      <c r="D7" s="151">
        <v>2001</v>
      </c>
      <c r="E7" s="152">
        <v>2002</v>
      </c>
      <c r="F7" s="79">
        <v>2003</v>
      </c>
      <c r="G7" s="79">
        <v>2004</v>
      </c>
      <c r="H7" s="79">
        <v>2005</v>
      </c>
      <c r="I7" s="165">
        <v>2006</v>
      </c>
      <c r="J7" s="165">
        <v>2007</v>
      </c>
      <c r="K7" s="151">
        <v>2008</v>
      </c>
      <c r="L7" s="151">
        <v>2009</v>
      </c>
      <c r="M7" s="151">
        <v>2010</v>
      </c>
      <c r="N7" s="151">
        <v>2012</v>
      </c>
      <c r="O7" s="151">
        <v>2013</v>
      </c>
      <c r="P7" s="151">
        <v>2014</v>
      </c>
      <c r="Q7" s="151">
        <v>2015</v>
      </c>
      <c r="R7" s="151">
        <v>2016</v>
      </c>
      <c r="S7" s="151">
        <v>2017</v>
      </c>
      <c r="T7" s="151">
        <v>2018</v>
      </c>
      <c r="U7" s="151">
        <v>2019</v>
      </c>
      <c r="V7" s="151">
        <v>2020</v>
      </c>
      <c r="W7" s="151">
        <v>2021</v>
      </c>
    </row>
    <row r="8" spans="1:23" ht="9" customHeight="1" thickBot="1">
      <c r="A8" s="180"/>
      <c r="B8" s="156"/>
      <c r="C8" s="156"/>
      <c r="D8" s="156"/>
      <c r="E8" s="156"/>
      <c r="F8" s="86"/>
      <c r="G8" s="86"/>
      <c r="H8" s="86"/>
      <c r="I8" s="248"/>
      <c r="J8" s="248"/>
      <c r="K8" s="248"/>
      <c r="L8" s="157"/>
      <c r="M8" s="157"/>
      <c r="N8" s="157"/>
      <c r="O8" s="157"/>
      <c r="P8" s="157"/>
      <c r="Q8" s="157"/>
      <c r="R8" s="157"/>
      <c r="S8" s="157"/>
      <c r="T8" s="157"/>
      <c r="U8" s="157"/>
      <c r="V8" s="157"/>
      <c r="W8" s="157"/>
    </row>
    <row r="9" spans="1:23" ht="9" customHeight="1" thickTop="1">
      <c r="A9" s="49"/>
      <c r="B9" s="177"/>
      <c r="C9" s="177"/>
      <c r="D9" s="177"/>
      <c r="E9" s="177"/>
      <c r="F9" s="111"/>
      <c r="G9" s="111"/>
      <c r="H9" s="111"/>
      <c r="I9" s="165"/>
      <c r="J9" s="165"/>
    </row>
    <row r="10" spans="1:23" ht="21.1" customHeight="1">
      <c r="A10" s="179" t="s">
        <v>155</v>
      </c>
      <c r="B10" s="178">
        <f>SUM('DRETS R. CORRENT-CAPITAL CAIB'!B9:B10)</f>
        <v>849.43999999999994</v>
      </c>
      <c r="C10" s="178">
        <f>SUM('DRETS R. CORRENT-CAPITAL CAIB'!C9:C10)-0</f>
        <v>935.15</v>
      </c>
      <c r="D10" s="178">
        <f>SUM('DRETS R. CORRENT-CAPITAL CAIB'!D9:D10)-0</f>
        <v>921.38000000000011</v>
      </c>
      <c r="E10" s="178">
        <f>SUM('DRETS R. CORRENT-CAPITAL CAIB'!E9:E10)</f>
        <v>1858.1768230600001</v>
      </c>
      <c r="F10" s="178">
        <f>SUM('DRETS R. CORRENT-CAPITAL CAIB'!F9:F10)-0.04</f>
        <v>2106.5299999999997</v>
      </c>
      <c r="G10" s="178">
        <f>SUM('DRETS R. CORRENT-CAPITAL CAIB'!G9:G10)-0.02</f>
        <v>2743.67</v>
      </c>
      <c r="H10" s="178">
        <f>SUM('DRETS R. CORRENT-CAPITAL CAIB'!H9:H10)-0.06</f>
        <v>2553.4700000000003</v>
      </c>
      <c r="I10" s="178">
        <v>2908.75</v>
      </c>
      <c r="J10" s="178">
        <f>SUM('DRETS R. CORRENT-CAPITAL CAIB'!J9:J10)-0</f>
        <v>3012.2299999999996</v>
      </c>
      <c r="K10" s="178">
        <f>SUM('DRETS R. CORRENT-CAPITAL CAIB'!K9:K10)-0.01</f>
        <v>2876.2</v>
      </c>
      <c r="L10" s="178">
        <f>SUM('DRETS R. CORRENT-CAPITAL CAIB'!L9:L10)-0.01</f>
        <v>3140.24</v>
      </c>
      <c r="M10" s="178">
        <f>SUM('DRETS R. CORRENT-CAPITAL CAIB'!M9:M10)-0.11</f>
        <v>2829.2099999999996</v>
      </c>
      <c r="N10" s="178">
        <f>SUM('DRETS R. CORRENT-CAPITAL CAIB'!N9:N10)-0.07</f>
        <v>3950.0289965999996</v>
      </c>
      <c r="O10" s="178">
        <f>SUM('DRETS R. CORRENT-CAPITAL CAIB'!O9:O10)</f>
        <v>2720.05</v>
      </c>
      <c r="P10" s="178">
        <f>SUM('DRETS R. CORRENT-CAPITAL CAIB'!P9:P10)</f>
        <v>2779.99</v>
      </c>
      <c r="Q10" s="178">
        <f>SUM('DRETS R. CORRENT-CAPITAL CAIB'!Q9:Q10)</f>
        <v>2976.5</v>
      </c>
      <c r="R10" s="178">
        <f>SUM('DRETS R. CORRENT-CAPITAL CAIB'!R9:R10)</f>
        <v>3257.1600000000003</v>
      </c>
      <c r="S10" s="178">
        <f>SUM('DRETS R. CORRENT-CAPITAL CAIB'!S9:S10)</f>
        <v>3615.83</v>
      </c>
      <c r="T10" s="178">
        <f>SUM('DRETS R. CORRENT-CAPITAL CAIB'!T9:T10)</f>
        <v>3889.5499999999997</v>
      </c>
      <c r="U10" s="178">
        <f>SUM('DRETS R. CORRENT-CAPITAL CAIB'!U9:U10)</f>
        <v>3998.5000000000009</v>
      </c>
      <c r="V10" s="178">
        <f>SUM('DRETS R. CORRENT-CAPITAL CAIB'!V9:V10)</f>
        <v>4523.7299999999996</v>
      </c>
      <c r="W10" s="178">
        <f>SUM('DRETS R. CORRENT-CAPITAL CAIB'!W9:W10)</f>
        <v>5905.45</v>
      </c>
    </row>
    <row r="11" spans="1:23" ht="9" customHeight="1"/>
    <row r="12" spans="1:23" ht="21.1" customHeight="1">
      <c r="A12" s="179" t="s">
        <v>156</v>
      </c>
      <c r="B12" s="178">
        <f>SUM('OBLIGA.R. CORRENT-CAPITAL CAIB'!B9:B10)</f>
        <v>826.99</v>
      </c>
      <c r="C12" s="178">
        <f>SUM('OBLIGA.R. CORRENT-CAPITAL CAIB'!C9:C10)</f>
        <v>926.58</v>
      </c>
      <c r="D12" s="178">
        <f>SUM('OBLIGA.R. CORRENT-CAPITAL CAIB'!D9:D10)</f>
        <v>999.03</v>
      </c>
      <c r="E12" s="178">
        <f>SUM('OBLIGA.R. CORRENT-CAPITAL CAIB'!E9:E10)</f>
        <v>1979.37</v>
      </c>
      <c r="F12" s="178">
        <f>SUM('OBLIGA.R. CORRENT-CAPITAL CAIB'!F9:F10)</f>
        <v>2123.5299999999997</v>
      </c>
      <c r="G12" s="178">
        <f>SUM('OBLIGA.R. CORRENT-CAPITAL CAIB'!G9:G10)</f>
        <v>2303.67</v>
      </c>
      <c r="H12" s="178">
        <f>SUM('OBLIGA.R. CORRENT-CAPITAL CAIB'!H9:H10)</f>
        <v>2943.14</v>
      </c>
      <c r="I12" s="178">
        <f>SUM('OBLIGA.R. CORRENT-CAPITAL CAIB'!I9:I10)</f>
        <v>2914.52</v>
      </c>
      <c r="J12" s="178">
        <f>SUM('OBLIGA.R. CORRENT-CAPITAL CAIB'!J9:J10)</f>
        <v>3264.57</v>
      </c>
      <c r="K12" s="178">
        <f>SUM('OBLIGA.R. CORRENT-CAPITAL CAIB'!K9:K10)</f>
        <v>3592.3600000000006</v>
      </c>
      <c r="L12" s="178">
        <f>SUM('OBLIGA.R. CORRENT-CAPITAL CAIB'!L9:L10)</f>
        <v>3881.0099999999998</v>
      </c>
      <c r="M12" s="178">
        <f>SUM('OBLIGA.R. CORRENT-CAPITAL CAIB'!M9:M10)</f>
        <v>3795.8200000000006</v>
      </c>
      <c r="N12" s="178">
        <f>SUM('OBLIGA.R. CORRENT-CAPITAL CAIB'!N9:N10)</f>
        <v>4977.8013185300006</v>
      </c>
      <c r="O12" s="178">
        <f>SUM('OBLIGA.R. CORRENT-CAPITAL CAIB'!O9:O10)</f>
        <v>3094.47</v>
      </c>
      <c r="P12" s="178">
        <f>SUM('OBLIGA.R. CORRENT-CAPITAL CAIB'!P9:P10)</f>
        <v>3182.82</v>
      </c>
      <c r="Q12" s="178">
        <f>SUM('OBLIGA.R. CORRENT-CAPITAL CAIB'!Q9:Q10)</f>
        <v>3350.57</v>
      </c>
      <c r="R12" s="178">
        <f>SUM('OBLIGA.R. CORRENT-CAPITAL CAIB'!R9:R10)</f>
        <v>3463.78</v>
      </c>
      <c r="S12" s="178">
        <f>SUM('OBLIGA.R. CORRENT-CAPITAL CAIB'!S9:S10)</f>
        <v>3877.3599999999997</v>
      </c>
      <c r="T12" s="178">
        <f>SUM('OBLIGA.R. CORRENT-CAPITAL CAIB'!T9:T10)</f>
        <v>4120.0300000000007</v>
      </c>
      <c r="U12" s="178">
        <f>SUM('OBLIGA.R. CORRENT-CAPITAL CAIB'!U9:U10)</f>
        <v>4410.59</v>
      </c>
      <c r="V12" s="178">
        <f>SUM('OBLIGA.R. CORRENT-CAPITAL CAIB'!V9:V10)</f>
        <v>4638.96</v>
      </c>
      <c r="W12" s="178">
        <f>SUM('OBLIGA.R. CORRENT-CAPITAL CAIB'!W9:W10)</f>
        <v>5510.45</v>
      </c>
    </row>
    <row r="13" spans="1:23" ht="9" customHeight="1" thickBot="1">
      <c r="A13" s="156"/>
      <c r="B13" s="156"/>
      <c r="C13" s="156"/>
      <c r="D13" s="156"/>
      <c r="E13" s="156"/>
      <c r="F13" s="86"/>
      <c r="G13" s="111"/>
      <c r="H13" s="111"/>
      <c r="I13" s="131"/>
      <c r="J13" s="131"/>
    </row>
    <row r="14" spans="1:23" ht="23.95" customHeight="1" thickTop="1" thickBot="1">
      <c r="A14" s="224" t="s">
        <v>4</v>
      </c>
      <c r="B14" s="210">
        <f t="shared" ref="B14:K14" si="0">B10-B16-B12</f>
        <v>16.989999999999895</v>
      </c>
      <c r="C14" s="210">
        <f t="shared" si="0"/>
        <v>-16.450000000000045</v>
      </c>
      <c r="D14" s="210">
        <f t="shared" si="0"/>
        <v>-163.01667025470874</v>
      </c>
      <c r="E14" s="210">
        <f t="shared" si="0"/>
        <v>-139.58317693999993</v>
      </c>
      <c r="F14" s="210">
        <f t="shared" si="0"/>
        <v>-22.659999999999854</v>
      </c>
      <c r="G14" s="210">
        <f t="shared" si="0"/>
        <v>426.36999999999989</v>
      </c>
      <c r="H14" s="210">
        <f t="shared" si="0"/>
        <v>-400.57999999999947</v>
      </c>
      <c r="I14" s="210">
        <f t="shared" si="0"/>
        <v>-13.639999999999873</v>
      </c>
      <c r="J14" s="210">
        <f t="shared" si="0"/>
        <v>-261.23000000000047</v>
      </c>
      <c r="K14" s="210">
        <f t="shared" si="0"/>
        <v>-725.99000000000069</v>
      </c>
      <c r="L14" s="210">
        <f>L10-L12</f>
        <v>-740.77</v>
      </c>
      <c r="M14" s="210">
        <f t="shared" ref="M14:W14" si="1">M10-M12</f>
        <v>-966.61000000000104</v>
      </c>
      <c r="N14" s="210">
        <f t="shared" ref="N14:V14" si="2">N10-N12</f>
        <v>-1027.772321930001</v>
      </c>
      <c r="O14" s="210">
        <f t="shared" si="2"/>
        <v>-374.41999999999962</v>
      </c>
      <c r="P14" s="210">
        <f t="shared" si="2"/>
        <v>-402.83000000000038</v>
      </c>
      <c r="Q14" s="210">
        <f t="shared" si="2"/>
        <v>-374.07000000000016</v>
      </c>
      <c r="R14" s="210">
        <f t="shared" si="2"/>
        <v>-206.61999999999989</v>
      </c>
      <c r="S14" s="210">
        <f t="shared" si="2"/>
        <v>-261.52999999999975</v>
      </c>
      <c r="T14" s="210">
        <f t="shared" si="2"/>
        <v>-230.48000000000093</v>
      </c>
      <c r="U14" s="210">
        <f t="shared" si="2"/>
        <v>-412.08999999999924</v>
      </c>
      <c r="V14" s="210">
        <f t="shared" si="2"/>
        <v>-115.23000000000047</v>
      </c>
      <c r="W14" s="210">
        <f t="shared" si="1"/>
        <v>395</v>
      </c>
    </row>
    <row r="15" spans="1:23" s="521" customFormat="1" ht="23.95" customHeight="1" thickTop="1">
      <c r="A15" s="523"/>
      <c r="B15" s="524"/>
      <c r="C15" s="524"/>
      <c r="D15" s="524"/>
      <c r="E15" s="524"/>
      <c r="F15" s="524"/>
      <c r="G15" s="524"/>
      <c r="H15" s="524"/>
      <c r="I15" s="524"/>
      <c r="J15" s="524"/>
      <c r="K15" s="524"/>
      <c r="L15" s="524"/>
      <c r="M15" s="524"/>
      <c r="N15" s="524"/>
      <c r="O15" s="524"/>
      <c r="P15" s="524"/>
      <c r="Q15" s="524"/>
      <c r="R15" s="524"/>
      <c r="S15" s="524"/>
      <c r="T15" s="524"/>
      <c r="U15" s="524"/>
      <c r="V15" s="524"/>
      <c r="W15" s="524"/>
    </row>
    <row r="16" spans="1:23" s="428" customFormat="1" ht="23.95" customHeight="1">
      <c r="A16" s="528" t="s">
        <v>227</v>
      </c>
      <c r="B16" s="522">
        <v>5.46</v>
      </c>
      <c r="C16" s="522">
        <v>25.02</v>
      </c>
      <c r="D16" s="522">
        <f>14203818797/166.386/1000000</f>
        <v>85.366670254708936</v>
      </c>
      <c r="E16" s="522">
        <v>18.39</v>
      </c>
      <c r="F16" s="522">
        <v>5.66</v>
      </c>
      <c r="G16" s="522">
        <v>13.63</v>
      </c>
      <c r="H16" s="522">
        <v>10.91</v>
      </c>
      <c r="I16" s="525">
        <v>7.87</v>
      </c>
      <c r="J16" s="525">
        <v>8.89</v>
      </c>
      <c r="K16" s="522">
        <v>9.83</v>
      </c>
      <c r="L16" s="529">
        <v>12.45</v>
      </c>
      <c r="M16" s="529">
        <v>15.26</v>
      </c>
      <c r="N16" s="529">
        <f>'RESULTAT EXERCICI  CAIB'!N16</f>
        <v>9.85</v>
      </c>
      <c r="O16" s="529">
        <f>'RESULTAT EXERCICI  CAIB'!O16</f>
        <v>14.490000000000002</v>
      </c>
      <c r="P16" s="529">
        <f>'RESULTAT EXERCICI  CAIB'!P16</f>
        <v>25.41</v>
      </c>
      <c r="Q16" s="529">
        <f>'RESULTAT EXERCICI  CAIB'!Q16</f>
        <v>38.78</v>
      </c>
      <c r="R16" s="529">
        <f>'RESULTAT EXERCICI  CAIB'!R16</f>
        <v>25.16</v>
      </c>
      <c r="S16" s="529">
        <f>'RESULTAT EXERCICI  CAIB'!S16</f>
        <v>25.16</v>
      </c>
      <c r="T16" s="529">
        <f>'RESULTAT EXERCICI  CAIB'!T16</f>
        <v>619.14</v>
      </c>
      <c r="U16" s="529">
        <f>'RESULTAT EXERCICI  CAIB'!U16</f>
        <v>29.57</v>
      </c>
      <c r="V16" s="529">
        <f>'RESULTAT EXERCICI  CAIB'!V16</f>
        <v>67.150000000000006</v>
      </c>
      <c r="W16" s="529">
        <f>'RESULTAT EXERCICI  CAIB'!W16</f>
        <v>25.71</v>
      </c>
    </row>
    <row r="17" spans="1:8">
      <c r="A17" s="49"/>
      <c r="B17" s="49"/>
      <c r="C17" s="49"/>
      <c r="D17" s="49"/>
    </row>
    <row r="18" spans="1:8">
      <c r="A18" s="50"/>
      <c r="B18" s="49"/>
      <c r="C18" s="49"/>
      <c r="D18" s="49"/>
    </row>
    <row r="19" spans="1:8">
      <c r="A19" s="51"/>
      <c r="B19" s="51"/>
      <c r="C19" s="51"/>
      <c r="D19" s="4"/>
      <c r="G19"/>
      <c r="H19"/>
    </row>
    <row r="20" spans="1:8" s="67" customFormat="1">
      <c r="A20" s="32"/>
      <c r="B20" s="32"/>
      <c r="C20" s="32"/>
      <c r="D20" s="48"/>
      <c r="E20" s="48"/>
      <c r="F20" s="48"/>
    </row>
    <row r="26" spans="1:8">
      <c r="B26" s="7">
        <v>2013</v>
      </c>
      <c r="D26" s="7">
        <v>3775.53</v>
      </c>
      <c r="E26" s="4">
        <v>3988.22</v>
      </c>
      <c r="F26" s="4">
        <f>E26/D26*100</f>
        <v>105.63338127362249</v>
      </c>
    </row>
    <row r="37" spans="1:22" ht="12.75" customHeight="1">
      <c r="A37" s="491" t="s">
        <v>197</v>
      </c>
      <c r="B37" s="491"/>
      <c r="C37" s="491"/>
      <c r="D37" s="491"/>
      <c r="E37" s="491"/>
      <c r="F37" s="491"/>
      <c r="G37" s="491"/>
      <c r="H37" s="491"/>
      <c r="I37" s="491"/>
      <c r="J37" s="491"/>
      <c r="K37" s="491"/>
      <c r="L37" s="491"/>
      <c r="M37" s="491"/>
      <c r="N37" s="491"/>
      <c r="O37" s="491"/>
      <c r="P37" s="491"/>
      <c r="Q37" s="491"/>
      <c r="R37" s="502"/>
      <c r="S37" s="508"/>
      <c r="T37" s="520"/>
      <c r="U37" s="491"/>
      <c r="V37" s="534"/>
    </row>
    <row r="38" spans="1:22" ht="12.75" customHeight="1">
      <c r="A38" s="526" t="s">
        <v>221</v>
      </c>
      <c r="B38" s="491"/>
      <c r="C38" s="491"/>
      <c r="D38" s="491"/>
      <c r="E38" s="491"/>
      <c r="F38" s="491"/>
      <c r="G38" s="491"/>
      <c r="H38" s="491"/>
      <c r="I38" s="491"/>
      <c r="J38" s="491"/>
      <c r="K38" s="491"/>
      <c r="L38" s="491"/>
      <c r="M38" s="491"/>
      <c r="N38" s="491"/>
      <c r="O38" s="491"/>
      <c r="P38" s="491"/>
      <c r="Q38" s="491"/>
      <c r="R38" s="502"/>
      <c r="S38" s="508"/>
      <c r="T38" s="520"/>
      <c r="U38" s="491"/>
      <c r="V38" s="534"/>
    </row>
    <row r="39" spans="1:22" ht="12.75" customHeight="1">
      <c r="A39" s="41" t="s">
        <v>222</v>
      </c>
      <c r="B39" s="526"/>
      <c r="C39" s="526"/>
      <c r="D39" s="526"/>
      <c r="E39" s="526"/>
      <c r="F39" s="526"/>
      <c r="G39" s="526"/>
      <c r="H39" s="526"/>
      <c r="I39" s="526"/>
      <c r="J39" s="526"/>
      <c r="K39" s="526"/>
      <c r="L39" s="526"/>
      <c r="M39" s="526"/>
      <c r="N39" s="526"/>
      <c r="O39" s="526"/>
      <c r="P39" s="526"/>
      <c r="Q39" s="526"/>
      <c r="R39" s="526"/>
      <c r="S39" s="526"/>
      <c r="T39" s="526"/>
      <c r="U39" s="526"/>
      <c r="V39" s="534"/>
    </row>
    <row r="40" spans="1:22" ht="19.55" customHeight="1">
      <c r="B40" s="491"/>
      <c r="C40" s="491"/>
      <c r="D40" s="491"/>
      <c r="E40" s="491"/>
      <c r="F40" s="491"/>
      <c r="G40" s="491"/>
      <c r="H40" s="491"/>
      <c r="I40" s="491"/>
      <c r="J40" s="491"/>
      <c r="K40" s="491"/>
      <c r="L40" s="491"/>
      <c r="M40" s="491"/>
      <c r="N40" s="491"/>
      <c r="O40" s="428"/>
      <c r="P40" s="491"/>
      <c r="Q40" s="491"/>
      <c r="R40" s="502"/>
      <c r="S40" s="508"/>
      <c r="T40" s="520"/>
      <c r="U40" s="491"/>
      <c r="V40" s="534"/>
    </row>
    <row r="41" spans="1:22" ht="21.75" customHeight="1"/>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2">
    <tabColor rgb="FF00B050"/>
  </sheetPr>
  <dimension ref="A1:W37"/>
  <sheetViews>
    <sheetView showGridLines="0" topLeftCell="A4" zoomScaleNormal="100" workbookViewId="0">
      <selection activeCell="W10" sqref="W10"/>
    </sheetView>
  </sheetViews>
  <sheetFormatPr baseColWidth="10" defaultColWidth="9.125" defaultRowHeight="12.9"/>
  <cols>
    <col min="1" max="1" width="4.75" customWidth="1"/>
    <col min="2" max="13" width="14.75" hidden="1" customWidth="1"/>
    <col min="14" max="23" width="16.25" customWidth="1"/>
  </cols>
  <sheetData>
    <row r="1" spans="1:23" ht="18" customHeight="1">
      <c r="B1" s="45"/>
      <c r="C1" s="45"/>
      <c r="D1" s="45"/>
      <c r="E1" s="45"/>
    </row>
    <row r="2" spans="1:23" ht="18" customHeight="1">
      <c r="B2" s="45"/>
      <c r="C2" s="45"/>
      <c r="D2" s="45"/>
      <c r="E2" s="45"/>
    </row>
    <row r="3" spans="1:23" ht="18" customHeight="1">
      <c r="B3" s="45"/>
      <c r="C3" s="45"/>
      <c r="D3" s="45"/>
      <c r="E3" s="45"/>
    </row>
    <row r="4" spans="1:23" ht="18" customHeight="1">
      <c r="A4" s="592" t="s">
        <v>238</v>
      </c>
      <c r="B4" s="592"/>
      <c r="C4" s="592"/>
      <c r="D4" s="592"/>
      <c r="E4" s="592"/>
      <c r="F4" s="592"/>
      <c r="G4" s="592"/>
      <c r="H4" s="592"/>
      <c r="I4" s="592"/>
      <c r="J4" s="592"/>
      <c r="K4" s="592"/>
      <c r="L4" s="592"/>
      <c r="M4" s="592"/>
      <c r="N4" s="592"/>
      <c r="O4" s="592"/>
      <c r="P4" s="592"/>
      <c r="Q4" s="592"/>
      <c r="R4" s="592"/>
      <c r="S4" s="592"/>
      <c r="T4" s="592"/>
      <c r="U4" s="592"/>
      <c r="V4" s="592"/>
      <c r="W4" s="592"/>
    </row>
    <row r="5" spans="1:23" ht="18" customHeight="1">
      <c r="B5" s="119"/>
      <c r="C5" s="119"/>
      <c r="D5" s="119"/>
      <c r="E5" s="119"/>
      <c r="F5" s="119"/>
      <c r="G5" s="119"/>
      <c r="H5" s="119"/>
      <c r="I5" s="119"/>
    </row>
    <row r="6" spans="1:23" ht="18" customHeight="1">
      <c r="B6" s="70"/>
      <c r="C6" s="70"/>
      <c r="D6" s="70"/>
      <c r="E6" s="70"/>
      <c r="F6" s="43"/>
      <c r="I6" s="43" t="s">
        <v>199</v>
      </c>
    </row>
    <row r="7" spans="1:23" ht="18" customHeight="1">
      <c r="B7" s="33"/>
      <c r="C7" s="33"/>
      <c r="D7" s="33"/>
      <c r="E7" s="162" t="s">
        <v>6</v>
      </c>
      <c r="F7" s="162" t="s">
        <v>6</v>
      </c>
      <c r="H7" s="71"/>
      <c r="I7" s="71"/>
    </row>
    <row r="8" spans="1:23" ht="18.350000000000001">
      <c r="B8" s="124">
        <v>1999</v>
      </c>
      <c r="C8" s="124">
        <v>2000</v>
      </c>
      <c r="D8" s="124">
        <v>2001</v>
      </c>
      <c r="E8" s="124">
        <v>2002</v>
      </c>
      <c r="F8" s="124">
        <v>2003</v>
      </c>
      <c r="G8" s="124">
        <v>2004</v>
      </c>
      <c r="H8" s="124">
        <v>2005</v>
      </c>
      <c r="I8" s="165">
        <v>2006</v>
      </c>
      <c r="J8" s="165">
        <v>2007</v>
      </c>
      <c r="K8" s="165">
        <v>2008</v>
      </c>
      <c r="L8" s="165">
        <v>2009</v>
      </c>
      <c r="M8" s="165">
        <v>2010</v>
      </c>
      <c r="N8" s="165">
        <v>2012</v>
      </c>
      <c r="O8" s="165">
        <v>2013</v>
      </c>
      <c r="P8" s="165">
        <v>2014</v>
      </c>
      <c r="Q8" s="80">
        <v>2015</v>
      </c>
      <c r="R8" s="80">
        <v>2016</v>
      </c>
      <c r="S8" s="80">
        <v>2017</v>
      </c>
      <c r="T8" s="80">
        <v>2018</v>
      </c>
      <c r="U8" s="80">
        <v>2019</v>
      </c>
      <c r="V8" s="80">
        <v>2020</v>
      </c>
      <c r="W8" s="80">
        <v>2021</v>
      </c>
    </row>
    <row r="9" spans="1:23" ht="9" customHeight="1" thickBot="1">
      <c r="B9" s="181"/>
      <c r="C9" s="181"/>
      <c r="D9" s="181"/>
      <c r="E9" s="182"/>
      <c r="F9" s="181"/>
      <c r="G9" s="181"/>
      <c r="H9" s="181"/>
      <c r="I9" s="248"/>
      <c r="J9" s="248"/>
      <c r="K9" s="248"/>
      <c r="L9" s="248"/>
      <c r="M9" s="248"/>
      <c r="N9" s="248"/>
      <c r="O9" s="248"/>
      <c r="P9" s="248"/>
    </row>
    <row r="10" spans="1:23" ht="27.7" customHeight="1" thickTop="1" thickBot="1">
      <c r="B10" s="241">
        <f>13510/166.386</f>
        <v>81.196735302248996</v>
      </c>
      <c r="C10" s="241">
        <f>11187/166.386</f>
        <v>67.235224117413722</v>
      </c>
      <c r="D10" s="241">
        <f>5518/166.386</f>
        <v>33.163847919897108</v>
      </c>
      <c r="E10" s="241">
        <v>40.03</v>
      </c>
      <c r="F10" s="242">
        <v>12.06</v>
      </c>
      <c r="G10" s="446">
        <v>437.47</v>
      </c>
      <c r="H10" s="446">
        <v>391.37</v>
      </c>
      <c r="I10" s="447">
        <v>481.06</v>
      </c>
      <c r="J10" s="447">
        <v>275.99</v>
      </c>
      <c r="K10" s="447">
        <v>81.23</v>
      </c>
      <c r="L10" s="447">
        <v>404.54</v>
      </c>
      <c r="M10" s="447">
        <v>-91.68</v>
      </c>
      <c r="N10" s="447">
        <v>-637.66</v>
      </c>
      <c r="O10" s="447">
        <v>-245.4</v>
      </c>
      <c r="P10" s="256">
        <v>-66.959999999999994</v>
      </c>
      <c r="Q10" s="256">
        <v>46.87</v>
      </c>
      <c r="R10" s="256">
        <v>253.64</v>
      </c>
      <c r="S10" s="256">
        <v>493.85</v>
      </c>
      <c r="T10" s="256">
        <v>-330.09</v>
      </c>
      <c r="U10" s="256">
        <v>-570.13</v>
      </c>
      <c r="V10" s="256">
        <v>-473.88</v>
      </c>
      <c r="W10" s="256">
        <v>-563.42999999999995</v>
      </c>
    </row>
    <row r="11" spans="1:23" ht="21.1" thickTop="1">
      <c r="B11" s="72"/>
      <c r="C11" s="72"/>
      <c r="D11" s="72"/>
      <c r="E11" s="72"/>
      <c r="G11" s="189"/>
      <c r="H11" s="189"/>
      <c r="I11" s="189"/>
      <c r="J11" s="189"/>
      <c r="K11" s="189"/>
      <c r="L11" s="189"/>
      <c r="M11" s="189"/>
      <c r="N11" s="189"/>
      <c r="O11" s="189"/>
      <c r="P11" s="189"/>
      <c r="Q11" s="67"/>
      <c r="R11" s="67"/>
    </row>
    <row r="12" spans="1:23" ht="15.65">
      <c r="B12" s="33"/>
      <c r="C12" s="33"/>
      <c r="D12" s="33"/>
      <c r="E12" s="33"/>
    </row>
    <row r="13" spans="1:23" ht="15.65">
      <c r="B13" s="33"/>
      <c r="C13" s="33"/>
      <c r="D13" s="33"/>
      <c r="E13" s="33"/>
    </row>
    <row r="14" spans="1:23" ht="15.65">
      <c r="B14" s="33"/>
      <c r="C14" s="33"/>
      <c r="D14" s="33"/>
      <c r="E14" s="33"/>
    </row>
    <row r="15" spans="1:23" ht="15.65">
      <c r="B15" s="33"/>
      <c r="C15" s="33"/>
      <c r="D15" s="33"/>
      <c r="E15" s="33"/>
    </row>
    <row r="16" spans="1:23" ht="15.65">
      <c r="B16" s="33"/>
      <c r="C16" s="33"/>
      <c r="D16" s="33"/>
      <c r="E16" s="33"/>
    </row>
    <row r="17" spans="1:7" ht="15.65">
      <c r="B17" s="33"/>
      <c r="C17" s="33"/>
      <c r="D17" s="33"/>
      <c r="E17" s="33"/>
    </row>
    <row r="18" spans="1:7" ht="15.65">
      <c r="B18" s="33"/>
      <c r="C18" s="33"/>
      <c r="D18" s="33"/>
      <c r="E18" s="33"/>
    </row>
    <row r="19" spans="1:7" ht="15.65">
      <c r="B19" s="40"/>
      <c r="C19" s="40"/>
      <c r="D19" s="40"/>
      <c r="E19" s="40"/>
    </row>
    <row r="20" spans="1:7" ht="15.65">
      <c r="B20" s="33"/>
      <c r="C20" s="33"/>
      <c r="D20" s="33"/>
      <c r="E20" s="33"/>
    </row>
    <row r="21" spans="1:7" ht="15.65">
      <c r="B21" s="40"/>
      <c r="C21" s="40"/>
      <c r="D21" s="40"/>
      <c r="E21" s="40"/>
    </row>
    <row r="22" spans="1:7" ht="15.65">
      <c r="B22" s="40"/>
      <c r="C22" s="40">
        <v>2013</v>
      </c>
      <c r="D22" s="40"/>
      <c r="E22" s="40">
        <v>3775.53</v>
      </c>
      <c r="F22">
        <v>3988.22</v>
      </c>
      <c r="G22">
        <f>F22/E22*100</f>
        <v>105.63338127362249</v>
      </c>
    </row>
    <row r="23" spans="1:7" ht="15.65">
      <c r="B23" s="40"/>
      <c r="C23" s="40"/>
      <c r="D23" s="40"/>
      <c r="E23" s="40"/>
    </row>
    <row r="24" spans="1:7" ht="15.65">
      <c r="B24" s="40"/>
      <c r="C24" s="40"/>
      <c r="D24" s="40"/>
      <c r="E24" s="40"/>
    </row>
    <row r="25" spans="1:7" ht="15.65">
      <c r="B25" s="40"/>
      <c r="C25" s="40"/>
      <c r="D25" s="40"/>
      <c r="E25" s="40"/>
    </row>
    <row r="26" spans="1:7" ht="15.65">
      <c r="B26" s="40"/>
      <c r="C26" s="40"/>
      <c r="D26" s="40"/>
      <c r="E26" s="40"/>
    </row>
    <row r="31" spans="1:7" ht="15.65">
      <c r="G31" s="247" t="s">
        <v>120</v>
      </c>
    </row>
    <row r="32" spans="1:7" ht="15.65">
      <c r="A32" s="247" t="s">
        <v>193</v>
      </c>
      <c r="D32" s="450"/>
      <c r="E32" s="450"/>
      <c r="F32" s="450"/>
      <c r="G32" s="449" t="s">
        <v>121</v>
      </c>
    </row>
    <row r="33" spans="1:21" ht="15.65">
      <c r="A33" s="519" t="s">
        <v>223</v>
      </c>
      <c r="B33" s="519"/>
      <c r="C33" s="519"/>
      <c r="D33" s="519"/>
      <c r="E33" s="519"/>
      <c r="F33" s="519"/>
      <c r="G33" s="519"/>
      <c r="H33" s="519"/>
      <c r="I33" s="519"/>
      <c r="J33" s="519"/>
      <c r="K33" s="519"/>
      <c r="L33" s="519"/>
      <c r="M33" s="519"/>
      <c r="N33" s="519"/>
      <c r="O33" s="67"/>
      <c r="P33" s="67"/>
      <c r="Q33" s="67"/>
      <c r="R33" s="67"/>
      <c r="S33" s="67"/>
      <c r="T33" s="67"/>
      <c r="U33" s="67"/>
    </row>
    <row r="34" spans="1:21" ht="14.3" customHeight="1">
      <c r="A34" s="491" t="s">
        <v>205</v>
      </c>
      <c r="B34" s="491"/>
      <c r="C34" s="491"/>
      <c r="D34" s="491"/>
      <c r="E34" s="491"/>
      <c r="F34" s="491"/>
      <c r="G34" s="491"/>
      <c r="H34" s="491"/>
      <c r="I34" s="491"/>
      <c r="J34" s="491"/>
      <c r="K34" s="491"/>
      <c r="L34" s="491"/>
      <c r="M34" s="491"/>
      <c r="N34" s="491"/>
      <c r="O34" s="491"/>
      <c r="P34" s="491"/>
      <c r="Q34" s="491"/>
      <c r="R34" s="502"/>
      <c r="S34" s="508"/>
      <c r="T34" s="519"/>
      <c r="U34" s="491"/>
    </row>
    <row r="35" spans="1:21" ht="13.6" customHeight="1">
      <c r="A35" s="558" t="s">
        <v>239</v>
      </c>
      <c r="B35" s="491"/>
      <c r="C35" s="491"/>
      <c r="D35" s="491"/>
      <c r="E35" s="491"/>
      <c r="F35" s="491"/>
      <c r="G35" s="491"/>
      <c r="H35" s="491"/>
      <c r="I35" s="491"/>
      <c r="J35" s="491"/>
      <c r="K35" s="491"/>
      <c r="L35" s="491"/>
      <c r="M35" s="491"/>
      <c r="N35" s="491"/>
      <c r="O35" s="491"/>
      <c r="P35" s="491"/>
      <c r="Q35" s="491"/>
      <c r="R35" s="502"/>
      <c r="S35" s="508"/>
      <c r="T35" s="519"/>
      <c r="U35" s="491"/>
    </row>
    <row r="36" spans="1:21" ht="13.6" customHeight="1">
      <c r="A36" s="41" t="s">
        <v>240</v>
      </c>
      <c r="B36" s="526"/>
      <c r="C36" s="526"/>
      <c r="D36" s="526"/>
      <c r="E36" s="526"/>
      <c r="F36" s="526"/>
      <c r="G36" s="526"/>
      <c r="H36" s="526"/>
      <c r="I36" s="526"/>
      <c r="J36" s="526"/>
      <c r="K36" s="526"/>
      <c r="L36" s="526"/>
      <c r="M36" s="526"/>
      <c r="N36" s="526"/>
      <c r="O36" s="526"/>
      <c r="P36" s="526"/>
      <c r="Q36" s="526"/>
      <c r="R36" s="526"/>
      <c r="S36" s="526"/>
      <c r="T36" s="526"/>
      <c r="U36" s="526"/>
    </row>
    <row r="37" spans="1:21" ht="19.55" customHeight="1">
      <c r="A37" s="7"/>
      <c r="B37" s="526"/>
      <c r="C37" s="526"/>
      <c r="D37" s="526"/>
      <c r="E37" s="526"/>
      <c r="F37" s="526"/>
      <c r="G37" s="526"/>
      <c r="H37" s="526"/>
      <c r="I37" s="526"/>
      <c r="J37" s="526"/>
      <c r="K37" s="526"/>
      <c r="L37" s="526"/>
      <c r="M37" s="526"/>
      <c r="N37" s="526"/>
      <c r="O37" s="428"/>
      <c r="P37" s="526"/>
      <c r="Q37" s="526"/>
      <c r="R37" s="526"/>
      <c r="S37" s="526"/>
      <c r="T37" s="526"/>
      <c r="U37" s="526"/>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3">
    <tabColor rgb="FF00B050"/>
  </sheetPr>
  <dimension ref="A1:W40"/>
  <sheetViews>
    <sheetView topLeftCell="A10" zoomScaleNormal="100" workbookViewId="0">
      <selection activeCell="W20" sqref="W20"/>
    </sheetView>
  </sheetViews>
  <sheetFormatPr baseColWidth="10" defaultRowHeight="12.9"/>
  <cols>
    <col min="1" max="1" width="23.25" customWidth="1"/>
    <col min="2" max="3" width="13.375" hidden="1" customWidth="1"/>
    <col min="4" max="4" width="13.25" hidden="1" customWidth="1"/>
    <col min="5" max="12" width="13.375" hidden="1" customWidth="1"/>
    <col min="13" max="13" width="13.25" hidden="1" customWidth="1"/>
    <col min="14" max="23" width="14.25" customWidth="1"/>
  </cols>
  <sheetData>
    <row r="1" spans="1:23" ht="18" customHeight="1"/>
    <row r="2" spans="1:23" ht="18" customHeight="1"/>
    <row r="3" spans="1:23" ht="18" customHeight="1">
      <c r="V3" s="533"/>
    </row>
    <row r="4" spans="1:23" ht="18" customHeight="1">
      <c r="A4" s="592" t="s">
        <v>160</v>
      </c>
      <c r="B4" s="592"/>
      <c r="C4" s="592"/>
      <c r="D4" s="592"/>
      <c r="E4" s="592"/>
      <c r="F4" s="592"/>
      <c r="G4" s="592"/>
      <c r="H4" s="592"/>
      <c r="I4" s="592"/>
      <c r="J4" s="592"/>
      <c r="K4" s="592"/>
      <c r="L4" s="592"/>
      <c r="M4" s="592"/>
      <c r="N4" s="592"/>
      <c r="O4" s="592"/>
      <c r="P4" s="592"/>
      <c r="Q4" s="592"/>
      <c r="R4" s="592"/>
      <c r="S4" s="592"/>
      <c r="T4" s="592"/>
      <c r="U4" s="592"/>
      <c r="V4" s="592"/>
      <c r="W4" s="592"/>
    </row>
    <row r="5" spans="1:23" ht="18" customHeight="1">
      <c r="F5" s="73"/>
      <c r="G5" s="73"/>
      <c r="H5" s="73"/>
    </row>
    <row r="6" spans="1:23" s="74" customFormat="1" ht="18.350000000000001">
      <c r="A6" s="43" t="s">
        <v>199</v>
      </c>
      <c r="B6" s="79">
        <v>1999</v>
      </c>
      <c r="C6" s="79">
        <v>2000</v>
      </c>
      <c r="D6" s="79">
        <v>2001</v>
      </c>
      <c r="E6" s="79">
        <v>2002</v>
      </c>
      <c r="F6" s="79">
        <v>2003</v>
      </c>
      <c r="G6" s="79">
        <v>2004</v>
      </c>
      <c r="H6" s="79">
        <v>2005</v>
      </c>
      <c r="I6" s="79">
        <v>2006</v>
      </c>
      <c r="J6" s="79">
        <v>2007</v>
      </c>
      <c r="K6" s="87">
        <v>2008</v>
      </c>
      <c r="L6" s="87">
        <v>2009</v>
      </c>
      <c r="M6" s="87">
        <v>2010</v>
      </c>
      <c r="N6" s="165">
        <v>2012</v>
      </c>
      <c r="O6" s="165">
        <v>2013</v>
      </c>
      <c r="P6" s="165">
        <v>2014</v>
      </c>
      <c r="Q6" s="165">
        <v>2015</v>
      </c>
      <c r="R6" s="165">
        <v>2016</v>
      </c>
      <c r="S6" s="165">
        <v>2017</v>
      </c>
      <c r="T6" s="165">
        <v>2018</v>
      </c>
      <c r="U6" s="165">
        <v>2019</v>
      </c>
      <c r="V6" s="165">
        <v>2020</v>
      </c>
      <c r="W6" s="165">
        <v>2021</v>
      </c>
    </row>
    <row r="7" spans="1:23" ht="9" customHeight="1" thickBot="1">
      <c r="A7" s="157"/>
      <c r="B7" s="86"/>
      <c r="C7" s="86"/>
      <c r="D7" s="86"/>
      <c r="E7" s="86"/>
      <c r="F7" s="86"/>
      <c r="G7" s="86"/>
      <c r="H7" s="86"/>
      <c r="I7" s="248"/>
      <c r="J7" s="248"/>
      <c r="K7" s="248"/>
      <c r="L7" s="157"/>
      <c r="M7" s="157"/>
      <c r="N7" s="157"/>
      <c r="O7" s="157"/>
      <c r="P7" s="157"/>
      <c r="Q7" s="157"/>
      <c r="R7" s="157"/>
      <c r="S7" s="157"/>
      <c r="T7" s="157"/>
      <c r="U7" s="157"/>
      <c r="V7" s="157"/>
      <c r="W7" s="157"/>
    </row>
    <row r="8" spans="1:23" ht="9" customHeight="1" thickTop="1">
      <c r="A8" s="189"/>
      <c r="B8" s="190"/>
      <c r="C8" s="190"/>
      <c r="D8" s="190"/>
      <c r="E8" s="190"/>
      <c r="F8" s="190"/>
      <c r="G8" s="111"/>
      <c r="H8" s="111"/>
      <c r="I8" s="165"/>
      <c r="J8" s="165"/>
    </row>
    <row r="9" spans="1:23" ht="39.1" customHeight="1">
      <c r="A9" s="187" t="s">
        <v>157</v>
      </c>
      <c r="B9" s="188">
        <f>'OBLIGAGIONS RECON. CAIB '!B14</f>
        <v>139.66</v>
      </c>
      <c r="C9" s="188">
        <f>'OBLIGAGIONS RECON. CAIB '!C14</f>
        <v>133.41999999999999</v>
      </c>
      <c r="D9" s="188">
        <f>'OBLIGAGIONS RECON. CAIB '!D14</f>
        <v>144.22999999999999</v>
      </c>
      <c r="E9" s="188">
        <f>'OBLIGAGIONS RECON. CAIB '!E14</f>
        <v>184.18</v>
      </c>
      <c r="F9" s="188">
        <f>'OBLIGAGIONS RECON. CAIB '!F14</f>
        <v>160.66999999999999</v>
      </c>
      <c r="G9" s="188">
        <f>'OBLIGAGIONS RECON. CAIB '!G14</f>
        <v>249.35</v>
      </c>
      <c r="H9" s="188">
        <f>'OBLIGAGIONS RECON. CAIB '!H14</f>
        <v>312.64999999999998</v>
      </c>
      <c r="I9" s="188">
        <f>'OBLIGAGIONS RECON. CAIB '!I14</f>
        <v>207.38</v>
      </c>
      <c r="J9" s="188">
        <f>'OBLIGAGIONS RECON. CAIB '!J14</f>
        <v>225.1</v>
      </c>
      <c r="K9" s="188">
        <f>'OBLIGAGIONS RECON. CAIB '!K14</f>
        <v>222.06</v>
      </c>
      <c r="L9" s="188">
        <f>'OBLIGAGIONS RECON. CAIB '!L14</f>
        <v>201.2</v>
      </c>
      <c r="M9" s="188">
        <f>'OBLIGAGIONS RECON. CAIB '!M14</f>
        <v>149.72</v>
      </c>
      <c r="N9" s="188">
        <f>'OBLIGAGIONS RECON. CAIB '!N14</f>
        <v>103.01</v>
      </c>
      <c r="O9" s="188">
        <f>'OBLIGAGIONS RECON. CAIB '!O14</f>
        <v>119.23</v>
      </c>
      <c r="P9" s="188">
        <f>'OBLIGAGIONS RECON. CAIB '!P14</f>
        <v>109.12</v>
      </c>
      <c r="Q9" s="188">
        <f>'OBLIGAGIONS RECON. CAIB '!Q14</f>
        <v>113.57</v>
      </c>
      <c r="R9" s="188">
        <f>'OBLIGAGIONS RECON. CAIB '!R14</f>
        <v>122.05</v>
      </c>
      <c r="S9" s="188">
        <f>'OBLIGAGIONS RECON. CAIB '!S14</f>
        <v>115.57</v>
      </c>
      <c r="T9" s="188">
        <f>'OBLIGAGIONS RECON. CAIB '!T14</f>
        <v>250.83</v>
      </c>
      <c r="U9" s="188">
        <f>'OBLIGAGIONS RECON. CAIB '!U14</f>
        <v>199.72</v>
      </c>
      <c r="V9" s="188">
        <f>'OBLIGAGIONS RECON. CAIB '!V14</f>
        <v>153.33000000000001</v>
      </c>
      <c r="W9" s="188">
        <f>'OBLIGAGIONS RECON. CAIB '!W14</f>
        <v>131.32</v>
      </c>
    </row>
    <row r="10" spans="1:23" ht="39.1" customHeight="1">
      <c r="A10" s="185" t="s">
        <v>158</v>
      </c>
      <c r="B10" s="183">
        <f>'DRETS RECONEGUTS CAIB'!B18</f>
        <v>50.382844710492471</v>
      </c>
      <c r="C10" s="183">
        <f>'DRETS RECONEGUTS CAIB'!C18</f>
        <v>17.934201194812065</v>
      </c>
      <c r="D10" s="183">
        <f>'DRETS RECONEGUTS CAIB'!D18</f>
        <v>143.11901241691007</v>
      </c>
      <c r="E10" s="183">
        <f>'DRETS RECONEGUTS CAIB'!E18</f>
        <v>159.69</v>
      </c>
      <c r="F10" s="183">
        <f>'DRETS RECONEGUTS CAIB'!F18</f>
        <v>6.19</v>
      </c>
      <c r="G10" s="183">
        <f>'DRETS RECONEGUTS CAIB'!G18</f>
        <v>10.24</v>
      </c>
      <c r="H10" s="183">
        <f>'DRETS RECONEGUTS CAIB'!H18</f>
        <v>362.28</v>
      </c>
      <c r="I10" s="183">
        <f>'DRETS RECONEGUTS CAIB'!I18</f>
        <v>146.07</v>
      </c>
      <c r="J10" s="183">
        <f>'DRETS RECONEGUTS CAIB'!J18</f>
        <v>98.72</v>
      </c>
      <c r="K10" s="183">
        <f>'DRETS RECONEGUTS CAIB'!K18</f>
        <v>574.53</v>
      </c>
      <c r="L10" s="183">
        <f>'DRETS RECONEGUTS CAIB'!L18</f>
        <v>1160.08</v>
      </c>
      <c r="M10" s="183">
        <f>'DRETS RECONEGUTS CAIB'!M18</f>
        <v>555.35</v>
      </c>
      <c r="N10" s="183">
        <f>'DRETS RECONEGUTS CAIB'!N18</f>
        <v>1668.7841842400001</v>
      </c>
      <c r="O10" s="183">
        <f>'DRETS RECONEGUTS CAIB'!O18</f>
        <v>1268.17</v>
      </c>
      <c r="P10" s="183">
        <f>'DRETS RECONEGUTS CAIB'!P18</f>
        <v>1610.45</v>
      </c>
      <c r="Q10" s="183">
        <f>'DRETS RECONEGUTS CAIB'!Q18</f>
        <v>1175.99</v>
      </c>
      <c r="R10" s="183">
        <f>'DRETS RECONEGUTS CAIB'!R18</f>
        <v>1276.5</v>
      </c>
      <c r="S10" s="183">
        <f>'DRETS RECONEGUTS CAIB'!S18</f>
        <v>1327.14</v>
      </c>
      <c r="T10" s="183">
        <f>'DRETS RECONEGUTS CAIB'!T18</f>
        <v>889.61</v>
      </c>
      <c r="U10" s="183">
        <f>'DRETS RECONEGUTS CAIB'!U18</f>
        <v>1193.94</v>
      </c>
      <c r="V10" s="183">
        <f>'DRETS RECONEGUTS CAIB'!V18</f>
        <v>1752.5</v>
      </c>
      <c r="W10" s="183">
        <f>'DRETS RECONEGUTS CAIB'!W18</f>
        <v>1125.71</v>
      </c>
    </row>
    <row r="11" spans="1:23" ht="36" customHeight="1" thickBot="1">
      <c r="A11" s="186" t="s">
        <v>159</v>
      </c>
      <c r="B11" s="184">
        <f t="shared" ref="B11:M11" si="0">B10/B9</f>
        <v>0.36075357805021102</v>
      </c>
      <c r="C11" s="184">
        <f t="shared" si="0"/>
        <v>0.13441913652235096</v>
      </c>
      <c r="D11" s="184">
        <f t="shared" si="0"/>
        <v>0.99229711167517209</v>
      </c>
      <c r="E11" s="184">
        <f t="shared" si="0"/>
        <v>0.86703225105874682</v>
      </c>
      <c r="F11" s="184">
        <f t="shared" si="0"/>
        <v>3.8526171656189712E-2</v>
      </c>
      <c r="G11" s="184">
        <f t="shared" si="0"/>
        <v>4.1066773611389613E-2</v>
      </c>
      <c r="H11" s="184">
        <f t="shared" si="0"/>
        <v>1.158739804893651</v>
      </c>
      <c r="I11" s="184">
        <f t="shared" si="0"/>
        <v>0.70435914745877137</v>
      </c>
      <c r="J11" s="184">
        <f t="shared" si="0"/>
        <v>0.43856063971568193</v>
      </c>
      <c r="K11" s="184">
        <f t="shared" si="0"/>
        <v>2.58727370980816</v>
      </c>
      <c r="L11" s="184">
        <f t="shared" si="0"/>
        <v>5.7658051689860832</v>
      </c>
      <c r="M11" s="184">
        <f t="shared" si="0"/>
        <v>3.7092572802564789</v>
      </c>
      <c r="N11" s="184">
        <f t="shared" ref="N11" si="1">N10/N9</f>
        <v>16.200215360062131</v>
      </c>
      <c r="O11" s="184">
        <f>O10/O9</f>
        <v>10.636333137633146</v>
      </c>
      <c r="P11" s="184">
        <f>P10/P9</f>
        <v>14.758522727272727</v>
      </c>
      <c r="Q11" s="184">
        <f>Q10/Q9</f>
        <v>10.354759179360748</v>
      </c>
      <c r="R11" s="184">
        <f>R10/R9</f>
        <v>10.45882834903728</v>
      </c>
      <c r="S11" s="184">
        <f t="shared" ref="S11:V11" si="2">S10/S9</f>
        <v>11.483429955870902</v>
      </c>
      <c r="T11" s="184">
        <f t="shared" si="2"/>
        <v>3.546665071961089</v>
      </c>
      <c r="U11" s="184">
        <f t="shared" si="2"/>
        <v>5.9780692970158222</v>
      </c>
      <c r="V11" s="184">
        <f t="shared" si="2"/>
        <v>11.429596295571642</v>
      </c>
      <c r="W11" s="184">
        <f t="shared" ref="W11" si="3">W10/W9</f>
        <v>8.5722662199208042</v>
      </c>
    </row>
    <row r="12" spans="1:23" ht="32.950000000000003" customHeight="1" thickTop="1" thickBot="1">
      <c r="A12" s="224" t="s">
        <v>5</v>
      </c>
      <c r="B12" s="225">
        <f t="shared" ref="B12:I12" si="4">B9-B10</f>
        <v>89.277155289507533</v>
      </c>
      <c r="C12" s="225">
        <f t="shared" si="4"/>
        <v>115.48579880518793</v>
      </c>
      <c r="D12" s="225">
        <f t="shared" si="4"/>
        <v>1.1109875830899227</v>
      </c>
      <c r="E12" s="225">
        <f t="shared" si="4"/>
        <v>24.490000000000009</v>
      </c>
      <c r="F12" s="225">
        <f t="shared" si="4"/>
        <v>154.47999999999999</v>
      </c>
      <c r="G12" s="225">
        <f t="shared" si="4"/>
        <v>239.10999999999999</v>
      </c>
      <c r="H12" s="225">
        <f t="shared" si="4"/>
        <v>-49.629999999999995</v>
      </c>
      <c r="I12" s="225">
        <f t="shared" si="4"/>
        <v>61.31</v>
      </c>
      <c r="J12" s="225">
        <f t="shared" ref="J12:M12" si="5">J9-J10</f>
        <v>126.38</v>
      </c>
      <c r="K12" s="225">
        <f t="shared" si="5"/>
        <v>-352.46999999999997</v>
      </c>
      <c r="L12" s="225">
        <f t="shared" si="5"/>
        <v>-958.87999999999988</v>
      </c>
      <c r="M12" s="225">
        <f t="shared" si="5"/>
        <v>-405.63</v>
      </c>
      <c r="N12" s="225">
        <f t="shared" ref="N12" si="6">N9-N10</f>
        <v>-1565.7741842400001</v>
      </c>
      <c r="O12" s="225">
        <f>O9-O10</f>
        <v>-1148.94</v>
      </c>
      <c r="P12" s="225">
        <f>P9-P10</f>
        <v>-1501.33</v>
      </c>
      <c r="Q12" s="225">
        <f>Q9-Q10</f>
        <v>-1062.42</v>
      </c>
      <c r="R12" s="225">
        <f>R9-R10</f>
        <v>-1154.45</v>
      </c>
      <c r="S12" s="225">
        <f t="shared" ref="S12:V12" si="7">S9-S10</f>
        <v>-1211.5700000000002</v>
      </c>
      <c r="T12" s="225">
        <f t="shared" si="7"/>
        <v>-638.78</v>
      </c>
      <c r="U12" s="225">
        <f t="shared" si="7"/>
        <v>-994.22</v>
      </c>
      <c r="V12" s="225">
        <f t="shared" si="7"/>
        <v>-1599.17</v>
      </c>
      <c r="W12" s="225">
        <f t="shared" ref="W12" si="8">W9-W10</f>
        <v>-994.3900000000001</v>
      </c>
    </row>
    <row r="13" spans="1:23" ht="13.6" thickTop="1"/>
    <row r="23" spans="2:6">
      <c r="B23">
        <v>2013</v>
      </c>
      <c r="D23">
        <v>3775.53</v>
      </c>
      <c r="E23">
        <v>3988.22</v>
      </c>
      <c r="F23">
        <f>E23/D23*100</f>
        <v>105.63338127362249</v>
      </c>
    </row>
    <row r="36" spans="1:16" ht="10.55" customHeight="1"/>
    <row r="37" spans="1:16" ht="16.5" customHeight="1">
      <c r="A37" s="428" t="s">
        <v>204</v>
      </c>
    </row>
    <row r="38" spans="1:16">
      <c r="A38" s="428" t="s">
        <v>220</v>
      </c>
    </row>
    <row r="39" spans="1:16">
      <c r="A39" s="428"/>
    </row>
    <row r="40" spans="1:16">
      <c r="P40" s="428"/>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4">
    <tabColor rgb="FF00B050"/>
  </sheetPr>
  <dimension ref="A1:W44"/>
  <sheetViews>
    <sheetView zoomScaleNormal="100" zoomScaleSheetLayoutView="75" workbookViewId="0">
      <selection activeCell="W13" sqref="W13"/>
    </sheetView>
  </sheetViews>
  <sheetFormatPr baseColWidth="10" defaultRowHeight="12.9"/>
  <cols>
    <col min="1" max="1" width="26.75" customWidth="1"/>
    <col min="2" max="13" width="13.25" hidden="1" customWidth="1"/>
    <col min="14" max="23" width="14.25" customWidth="1"/>
  </cols>
  <sheetData>
    <row r="1" spans="1:23" ht="18" customHeight="1"/>
    <row r="2" spans="1:23" ht="18" customHeight="1"/>
    <row r="3" spans="1:23" ht="18" customHeight="1"/>
    <row r="4" spans="1:23" ht="20.399999999999999">
      <c r="A4" s="592" t="s">
        <v>241</v>
      </c>
      <c r="B4" s="592"/>
      <c r="C4" s="592"/>
      <c r="D4" s="592"/>
      <c r="E4" s="592"/>
      <c r="F4" s="592"/>
      <c r="G4" s="592"/>
      <c r="H4" s="592"/>
      <c r="I4" s="592"/>
      <c r="J4" s="592"/>
      <c r="K4" s="592"/>
      <c r="L4" s="592"/>
      <c r="M4" s="592"/>
      <c r="N4" s="592"/>
      <c r="O4" s="592"/>
      <c r="P4" s="592"/>
      <c r="Q4" s="592"/>
      <c r="R4" s="592"/>
      <c r="S4" s="592"/>
      <c r="T4" s="592"/>
      <c r="U4" s="592"/>
      <c r="V4" s="592"/>
      <c r="W4" s="592"/>
    </row>
    <row r="5" spans="1:23" ht="18" customHeight="1">
      <c r="J5" s="25"/>
      <c r="L5" s="25"/>
    </row>
    <row r="6" spans="1:23" ht="18" customHeight="1">
      <c r="I6" s="25"/>
      <c r="K6" s="25"/>
    </row>
    <row r="7" spans="1:23" s="67" customFormat="1" ht="18.350000000000001">
      <c r="A7" s="66" t="s">
        <v>199</v>
      </c>
      <c r="B7" s="80">
        <v>1999</v>
      </c>
      <c r="C7" s="80">
        <v>2000</v>
      </c>
      <c r="D7" s="80">
        <v>2001</v>
      </c>
      <c r="E7" s="80">
        <v>2002</v>
      </c>
      <c r="F7" s="80">
        <v>2003</v>
      </c>
      <c r="G7" s="80">
        <v>2004</v>
      </c>
      <c r="H7" s="80">
        <v>2005</v>
      </c>
      <c r="I7" s="80">
        <v>2006</v>
      </c>
      <c r="J7" s="80">
        <v>2007</v>
      </c>
      <c r="K7" s="151">
        <v>2008</v>
      </c>
      <c r="L7" s="151">
        <v>2009</v>
      </c>
      <c r="M7" s="151">
        <v>2010</v>
      </c>
      <c r="N7" s="151">
        <v>2012</v>
      </c>
      <c r="O7" s="151">
        <v>2013</v>
      </c>
      <c r="P7" s="151">
        <v>2014</v>
      </c>
      <c r="Q7" s="151">
        <v>2015</v>
      </c>
      <c r="R7" s="151">
        <v>2016</v>
      </c>
      <c r="S7" s="151">
        <v>2017</v>
      </c>
      <c r="T7" s="151">
        <v>2018</v>
      </c>
      <c r="U7" s="151">
        <v>2019</v>
      </c>
      <c r="V7" s="151">
        <v>2020</v>
      </c>
      <c r="W7" s="151">
        <v>2021</v>
      </c>
    </row>
    <row r="8" spans="1:23" ht="9" customHeight="1" thickBot="1">
      <c r="A8" s="157"/>
      <c r="B8" s="86"/>
      <c r="C8" s="86"/>
      <c r="D8" s="86"/>
      <c r="E8" s="86"/>
      <c r="F8" s="86"/>
      <c r="G8" s="86"/>
      <c r="H8" s="86"/>
      <c r="I8" s="248"/>
      <c r="J8" s="248"/>
      <c r="K8" s="157"/>
      <c r="L8" s="157"/>
      <c r="M8" s="157"/>
      <c r="N8" s="157"/>
      <c r="O8" s="157"/>
      <c r="P8" s="157"/>
      <c r="Q8" s="157"/>
      <c r="R8" s="157"/>
      <c r="S8" s="157"/>
      <c r="T8" s="157"/>
      <c r="U8" s="157"/>
      <c r="V8" s="157"/>
      <c r="W8" s="157"/>
    </row>
    <row r="9" spans="1:23" ht="9" customHeight="1" thickTop="1">
      <c r="A9" s="67"/>
      <c r="B9" s="111"/>
      <c r="C9" s="111"/>
      <c r="D9" s="111"/>
      <c r="E9" s="111"/>
      <c r="F9" s="111"/>
      <c r="G9" s="111"/>
      <c r="H9" s="111"/>
      <c r="I9" s="165"/>
      <c r="J9" s="165"/>
    </row>
    <row r="10" spans="1:23" ht="23.95" customHeight="1">
      <c r="A10" s="192" t="s">
        <v>161</v>
      </c>
      <c r="B10" s="191">
        <f>'OBLIGAGIONS RECON. CAIB '!B17</f>
        <v>50.38</v>
      </c>
      <c r="C10" s="191">
        <f>'OBLIGAGIONS RECON. CAIB '!C17</f>
        <v>8.93</v>
      </c>
      <c r="D10" s="191">
        <f>'OBLIGAGIONS RECON. CAIB '!D17</f>
        <v>4.01</v>
      </c>
      <c r="E10" s="191">
        <f>'OBLIGAGIONS RECON. CAIB '!E17</f>
        <v>4.01</v>
      </c>
      <c r="F10" s="191">
        <f>'OBLIGAGIONS RECON. CAIB '!F17</f>
        <v>6.19</v>
      </c>
      <c r="G10" s="191">
        <f>'OBLIGAGIONS RECON. CAIB '!G17</f>
        <v>10.24</v>
      </c>
      <c r="H10" s="191">
        <f>'OBLIGAGIONS RECON. CAIB '!H17</f>
        <v>42.27</v>
      </c>
      <c r="I10" s="191">
        <f>'OBLIGAGIONS RECON. CAIB '!I17</f>
        <v>42.07</v>
      </c>
      <c r="J10" s="191">
        <f>'OBLIGAGIONS RECON. CAIB '!J17</f>
        <v>42.07</v>
      </c>
      <c r="K10" s="191">
        <f>'OBLIGAGIONS RECON. CAIB '!K17</f>
        <v>42.07</v>
      </c>
      <c r="L10" s="191">
        <f>'OBLIGAGIONS RECON. CAIB '!L17</f>
        <v>79.91</v>
      </c>
      <c r="M10" s="191">
        <f>'OBLIGAGIONS RECON. CAIB '!M17</f>
        <v>69.25</v>
      </c>
      <c r="N10" s="191">
        <f>'OBLIGAGIONS RECON. CAIB '!N17</f>
        <v>480.89786333000001</v>
      </c>
      <c r="O10" s="191">
        <f>'OBLIGAGIONS RECON. CAIB '!O17</f>
        <v>485.45</v>
      </c>
      <c r="P10" s="191">
        <f>'OBLIGAGIONS RECON. CAIB '!P17</f>
        <v>675.74</v>
      </c>
      <c r="Q10" s="191">
        <f>'OBLIGAGIONS RECON. CAIB '!Q17</f>
        <v>501.76</v>
      </c>
      <c r="R10" s="191">
        <f>'OBLIGAGIONS RECON. CAIB '!R17</f>
        <v>709.61</v>
      </c>
      <c r="S10" s="191">
        <f>'OBLIGAGIONS RECON. CAIB '!S17</f>
        <v>804.89</v>
      </c>
      <c r="T10" s="191">
        <f>'OBLIGAGIONS RECON. CAIB '!T17</f>
        <v>860.06</v>
      </c>
      <c r="U10" s="191">
        <f>'OBLIGAGIONS RECON. CAIB '!U17</f>
        <v>988.02</v>
      </c>
      <c r="V10" s="191">
        <f>'OBLIGAGIONS RECON. CAIB '!V17</f>
        <v>1475.92</v>
      </c>
      <c r="W10" s="191">
        <f>'OBLIGAGIONS RECON. CAIB '!W17</f>
        <v>1163.99</v>
      </c>
    </row>
    <row r="11" spans="1:23" ht="23.95" customHeight="1">
      <c r="A11" s="192" t="s">
        <v>162</v>
      </c>
      <c r="B11" s="191">
        <f>'DRETS RECONEGUTS CAIB'!B18</f>
        <v>50.382844710492471</v>
      </c>
      <c r="C11" s="191">
        <f>'DRETS RECONEGUTS CAIB'!C18</f>
        <v>17.934201194812065</v>
      </c>
      <c r="D11" s="191">
        <f>'DRETS RECONEGUTS CAIB'!D18</f>
        <v>143.11901241691007</v>
      </c>
      <c r="E11" s="191">
        <f>'DRETS RECONEGUTS CAIB'!E18</f>
        <v>159.69</v>
      </c>
      <c r="F11" s="191">
        <f>'DRETS RECONEGUTS CAIB'!F18</f>
        <v>6.19</v>
      </c>
      <c r="G11" s="191">
        <f>'DRETS RECONEGUTS CAIB'!G18</f>
        <v>10.24</v>
      </c>
      <c r="H11" s="191">
        <f>'DRETS RECONEGUTS CAIB'!H18</f>
        <v>362.28</v>
      </c>
      <c r="I11" s="191">
        <f>'DRETS RECONEGUTS CAIB'!I18</f>
        <v>146.07</v>
      </c>
      <c r="J11" s="191">
        <f>'DRETS RECONEGUTS CAIB'!J18</f>
        <v>98.72</v>
      </c>
      <c r="K11" s="191">
        <f>'DRETS RECONEGUTS CAIB'!K18</f>
        <v>574.53</v>
      </c>
      <c r="L11" s="191">
        <f>'DRETS RECONEGUTS CAIB'!L18</f>
        <v>1160.08</v>
      </c>
      <c r="M11" s="191">
        <f>'DRETS RECONEGUTS CAIB'!M18</f>
        <v>555.35</v>
      </c>
      <c r="N11" s="191">
        <f>'DRETS RECONEGUTS CAIB'!N18</f>
        <v>1668.7841842400001</v>
      </c>
      <c r="O11" s="191">
        <f>'DRETS RECONEGUTS CAIB'!O18</f>
        <v>1268.17</v>
      </c>
      <c r="P11" s="191">
        <f>'DRETS RECONEGUTS CAIB'!P18</f>
        <v>1610.45</v>
      </c>
      <c r="Q11" s="191">
        <f>'DRETS RECONEGUTS CAIB'!Q18</f>
        <v>1175.99</v>
      </c>
      <c r="R11" s="191">
        <f>'DRETS RECONEGUTS CAIB'!R18</f>
        <v>1276.5</v>
      </c>
      <c r="S11" s="191">
        <f>'DRETS RECONEGUTS CAIB'!S18</f>
        <v>1327.14</v>
      </c>
      <c r="T11" s="191">
        <f>'DRETS RECONEGUTS CAIB'!T18</f>
        <v>889.61</v>
      </c>
      <c r="U11" s="191">
        <f>'DRETS RECONEGUTS CAIB'!U18</f>
        <v>1193.94</v>
      </c>
      <c r="V11" s="191">
        <f>'DRETS RECONEGUTS CAIB'!V18</f>
        <v>1752.5</v>
      </c>
      <c r="W11" s="191">
        <f>'DRETS RECONEGUTS CAIB'!W18</f>
        <v>1125.71</v>
      </c>
    </row>
    <row r="12" spans="1:23" ht="9" customHeight="1" thickBot="1">
      <c r="A12" s="192"/>
      <c r="B12" s="191"/>
      <c r="C12" s="191"/>
      <c r="D12" s="191"/>
      <c r="E12" s="191"/>
      <c r="F12" s="191"/>
      <c r="G12" s="191"/>
      <c r="H12" s="191"/>
      <c r="I12" s="165"/>
      <c r="J12" s="165"/>
    </row>
    <row r="13" spans="1:23" ht="23.95" customHeight="1" thickTop="1" thickBot="1">
      <c r="A13" s="224" t="s">
        <v>5</v>
      </c>
      <c r="B13" s="210">
        <f t="shared" ref="B13:I13" si="0">B11-B10</f>
        <v>2.8447104924680389E-3</v>
      </c>
      <c r="C13" s="210">
        <f t="shared" si="0"/>
        <v>9.0042011948120653</v>
      </c>
      <c r="D13" s="210">
        <f t="shared" si="0"/>
        <v>139.10901241691008</v>
      </c>
      <c r="E13" s="210">
        <f t="shared" si="0"/>
        <v>155.68</v>
      </c>
      <c r="F13" s="210">
        <f t="shared" si="0"/>
        <v>0</v>
      </c>
      <c r="G13" s="210">
        <f t="shared" si="0"/>
        <v>0</v>
      </c>
      <c r="H13" s="210">
        <f t="shared" si="0"/>
        <v>320.01</v>
      </c>
      <c r="I13" s="210">
        <f t="shared" si="0"/>
        <v>104</v>
      </c>
      <c r="J13" s="210">
        <f t="shared" ref="J13:M13" si="1">J11-J10</f>
        <v>56.65</v>
      </c>
      <c r="K13" s="210">
        <f t="shared" si="1"/>
        <v>532.45999999999992</v>
      </c>
      <c r="L13" s="210">
        <f t="shared" si="1"/>
        <v>1080.1699999999998</v>
      </c>
      <c r="M13" s="210">
        <f t="shared" si="1"/>
        <v>486.1</v>
      </c>
      <c r="N13" s="210">
        <f t="shared" ref="N13" si="2">N11-N10</f>
        <v>1187.88632091</v>
      </c>
      <c r="O13" s="210">
        <f>O11-O10</f>
        <v>782.72</v>
      </c>
      <c r="P13" s="210">
        <f>P11-P10</f>
        <v>934.71</v>
      </c>
      <c r="Q13" s="210">
        <f>Q11-Q10</f>
        <v>674.23</v>
      </c>
      <c r="R13" s="210">
        <f>R11-R10</f>
        <v>566.89</v>
      </c>
      <c r="S13" s="210">
        <f t="shared" ref="S13:V13" si="3">S11-S10</f>
        <v>522.25000000000011</v>
      </c>
      <c r="T13" s="210">
        <f t="shared" si="3"/>
        <v>29.550000000000068</v>
      </c>
      <c r="U13" s="210">
        <f t="shared" si="3"/>
        <v>205.92000000000007</v>
      </c>
      <c r="V13" s="210">
        <f t="shared" si="3"/>
        <v>276.57999999999993</v>
      </c>
      <c r="W13" s="210">
        <f t="shared" ref="W13" si="4">W11-W10</f>
        <v>-38.279999999999973</v>
      </c>
    </row>
    <row r="14" spans="1:23" ht="13.6" thickTop="1"/>
    <row r="24" spans="2:6">
      <c r="B24">
        <v>2013</v>
      </c>
      <c r="D24">
        <v>3775.53</v>
      </c>
      <c r="E24">
        <v>3988.22</v>
      </c>
      <c r="F24">
        <f>E24/D24*100</f>
        <v>105.63338127362249</v>
      </c>
    </row>
    <row r="41" spans="1:16">
      <c r="A41" s="428" t="s">
        <v>204</v>
      </c>
    </row>
    <row r="42" spans="1:16">
      <c r="A42" s="428" t="s">
        <v>219</v>
      </c>
    </row>
    <row r="43" spans="1:16">
      <c r="A43" s="428"/>
    </row>
    <row r="44" spans="1:16">
      <c r="P44" s="428"/>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5">
    <tabColor rgb="FF00B050"/>
  </sheetPr>
  <dimension ref="A1:AD54"/>
  <sheetViews>
    <sheetView zoomScaleNormal="100" zoomScaleSheetLayoutView="85" workbookViewId="0">
      <selection activeCell="Y15" sqref="Y15"/>
    </sheetView>
  </sheetViews>
  <sheetFormatPr baseColWidth="10" defaultRowHeight="12.9"/>
  <cols>
    <col min="1" max="1" width="32.625" customWidth="1"/>
    <col min="2" max="13" width="12.75" hidden="1" customWidth="1"/>
    <col min="14" max="23" width="13.75" customWidth="1"/>
  </cols>
  <sheetData>
    <row r="1" spans="1:30" ht="18" customHeight="1"/>
    <row r="2" spans="1:30" ht="18" customHeight="1"/>
    <row r="3" spans="1:30" ht="18" customHeight="1"/>
    <row r="4" spans="1:30" ht="20.399999999999999">
      <c r="A4" s="592" t="s">
        <v>242</v>
      </c>
      <c r="B4" s="592"/>
      <c r="C4" s="592"/>
      <c r="D4" s="592"/>
      <c r="E4" s="592"/>
      <c r="F4" s="592"/>
      <c r="G4" s="592"/>
      <c r="H4" s="592"/>
      <c r="I4" s="592"/>
      <c r="J4" s="592"/>
      <c r="K4" s="592"/>
      <c r="L4" s="592"/>
      <c r="M4" s="592"/>
      <c r="N4" s="592"/>
      <c r="O4" s="592"/>
      <c r="P4" s="592"/>
      <c r="Q4" s="592"/>
      <c r="R4" s="592"/>
      <c r="S4" s="592"/>
      <c r="T4" s="592"/>
      <c r="U4" s="592"/>
      <c r="V4" s="592"/>
      <c r="W4" s="592"/>
    </row>
    <row r="5" spans="1:30" ht="18" customHeight="1"/>
    <row r="6" spans="1:30" ht="18" customHeight="1"/>
    <row r="7" spans="1:30" ht="18.350000000000001">
      <c r="A7" s="197" t="s">
        <v>199</v>
      </c>
      <c r="B7" s="80">
        <v>1999</v>
      </c>
      <c r="C7" s="80">
        <v>2000</v>
      </c>
      <c r="D7" s="80">
        <v>2001</v>
      </c>
      <c r="E7" s="80">
        <v>2002</v>
      </c>
      <c r="F7" s="80">
        <v>2003</v>
      </c>
      <c r="G7" s="80">
        <v>2004</v>
      </c>
      <c r="H7" s="80">
        <v>2005</v>
      </c>
      <c r="I7" s="80">
        <v>2006</v>
      </c>
      <c r="J7" s="80">
        <v>2007</v>
      </c>
      <c r="K7" s="151">
        <v>2008</v>
      </c>
      <c r="L7" s="151">
        <v>2009</v>
      </c>
      <c r="M7" s="151">
        <v>2010</v>
      </c>
      <c r="N7" s="151">
        <v>2012</v>
      </c>
      <c r="O7" s="151">
        <v>2013</v>
      </c>
      <c r="P7" s="151">
        <v>2014</v>
      </c>
      <c r="Q7" s="151">
        <v>2015</v>
      </c>
      <c r="R7" s="151">
        <v>2016</v>
      </c>
      <c r="S7" s="151">
        <v>2017</v>
      </c>
      <c r="T7" s="151">
        <v>2018</v>
      </c>
      <c r="U7" s="151">
        <v>2019</v>
      </c>
      <c r="V7" s="151">
        <v>2020</v>
      </c>
      <c r="W7" s="151">
        <v>2021</v>
      </c>
    </row>
    <row r="8" spans="1:30" ht="9" customHeight="1" thickBot="1">
      <c r="A8" s="157"/>
      <c r="B8" s="86"/>
      <c r="C8" s="86"/>
      <c r="D8" s="86"/>
      <c r="E8" s="86"/>
      <c r="F8" s="86"/>
      <c r="G8" s="86"/>
      <c r="H8" s="111"/>
      <c r="I8" s="90"/>
      <c r="J8" s="90"/>
      <c r="L8" s="157"/>
    </row>
    <row r="9" spans="1:30" ht="36" customHeight="1" thickTop="1" thickBot="1">
      <c r="A9" s="475" t="s">
        <v>163</v>
      </c>
      <c r="B9" s="226">
        <f>'OBLIGAGIONS RECON. CAIB '!B13</f>
        <v>171.41</v>
      </c>
      <c r="C9" s="226">
        <f>'OBLIGAGIONS RECON. CAIB '!C13</f>
        <v>215.79</v>
      </c>
      <c r="D9" s="226">
        <f>'OBLIGAGIONS RECON. CAIB '!D13</f>
        <v>248.8</v>
      </c>
      <c r="E9" s="226">
        <f>'OBLIGAGIONS RECON. CAIB '!E13</f>
        <v>1041.51</v>
      </c>
      <c r="F9" s="226">
        <f>'OBLIGAGIONS RECON. CAIB '!F13</f>
        <v>1133.8699999999999</v>
      </c>
      <c r="G9" s="226">
        <f>'OBLIGAGIONS RECON. CAIB '!G13</f>
        <v>1185.1600000000001</v>
      </c>
      <c r="H9" s="226">
        <f>'OBLIGAGIONS RECON. CAIB '!H13</f>
        <v>1690.74</v>
      </c>
      <c r="I9" s="226">
        <f>'OBLIGAGIONS RECON. CAIB '!I13</f>
        <v>1706.6</v>
      </c>
      <c r="J9" s="226">
        <f>'OBLIGAGIONS RECON. CAIB '!J13</f>
        <v>1930.86</v>
      </c>
      <c r="K9" s="226">
        <f>'OBLIGAGIONS RECON. CAIB '!K13</f>
        <v>2105.65</v>
      </c>
      <c r="L9" s="226">
        <f>'OBLIGAGIONS RECON. CAIB '!L13</f>
        <v>2261.58</v>
      </c>
      <c r="M9" s="226">
        <f>'OBLIGAGIONS RECON. CAIB '!M13</f>
        <v>2290.2800000000002</v>
      </c>
      <c r="N9" s="226">
        <v>3701.5</v>
      </c>
      <c r="O9" s="226">
        <f>'OBLIGAGIONS RECON. CAIB '!O13</f>
        <v>1790.59</v>
      </c>
      <c r="P9" s="226">
        <f>'OBLIGAGIONS RECON. CAIB '!P13</f>
        <v>1874.82</v>
      </c>
      <c r="Q9" s="226">
        <f>'OBLIGAGIONS RECON. CAIB '!Q13</f>
        <v>2061.52</v>
      </c>
      <c r="R9" s="226">
        <f>'OBLIGAGIONS RECON. CAIB '!R13</f>
        <v>2193.63</v>
      </c>
      <c r="S9" s="226">
        <f>'OBLIGAGIONS RECON. CAIB '!S13</f>
        <v>2410.5700000000002</v>
      </c>
      <c r="T9" s="226">
        <f>'OBLIGAGIONS RECON. CAIB '!T13</f>
        <v>2493.34</v>
      </c>
      <c r="U9" s="226">
        <f>'OBLIGAGIONS RECON. CAIB '!U13</f>
        <v>2765.86</v>
      </c>
      <c r="V9" s="226">
        <f>'OBLIGAGIONS RECON. CAIB '!V13</f>
        <v>3029.83</v>
      </c>
      <c r="W9" s="226">
        <f>'OBLIGAGIONS RECON. CAIB '!W13</f>
        <v>3881.37</v>
      </c>
    </row>
    <row r="10" spans="1:30" ht="9" customHeight="1" thickTop="1">
      <c r="A10" s="195"/>
      <c r="B10" s="196"/>
      <c r="C10" s="196"/>
      <c r="D10" s="196"/>
      <c r="E10" s="196"/>
      <c r="F10" s="196"/>
      <c r="G10" s="196"/>
      <c r="H10" s="445"/>
      <c r="I10" s="253"/>
      <c r="J10" s="253"/>
    </row>
    <row r="11" spans="1:30" ht="36" customHeight="1">
      <c r="A11" s="227" t="s">
        <v>164</v>
      </c>
      <c r="B11" s="228">
        <v>53.9</v>
      </c>
      <c r="C11" s="228">
        <v>62.36</v>
      </c>
      <c r="D11" s="228">
        <v>76.180000000000007</v>
      </c>
      <c r="E11" s="228">
        <v>82.64</v>
      </c>
      <c r="F11" s="228">
        <v>89.98</v>
      </c>
      <c r="G11" s="228">
        <v>102.95</v>
      </c>
      <c r="H11" s="228">
        <v>128.13999999999999</v>
      </c>
      <c r="I11" s="228">
        <v>175.88</v>
      </c>
      <c r="J11" s="228">
        <v>232.17</v>
      </c>
      <c r="K11" s="266">
        <v>274.52</v>
      </c>
      <c r="L11" s="266">
        <v>329.71</v>
      </c>
      <c r="M11" s="266">
        <v>328.82</v>
      </c>
      <c r="N11" s="266">
        <v>259.29000000000002</v>
      </c>
      <c r="O11" s="266">
        <v>231.48</v>
      </c>
      <c r="P11" s="266">
        <v>241.54</v>
      </c>
      <c r="Q11" s="266">
        <v>261.67</v>
      </c>
      <c r="R11" s="266">
        <v>253.66</v>
      </c>
      <c r="S11" s="266">
        <v>277.74</v>
      </c>
      <c r="T11" s="266">
        <v>273.70999999999998</v>
      </c>
      <c r="U11" s="266">
        <v>305.01</v>
      </c>
      <c r="V11" s="266">
        <v>297.67</v>
      </c>
      <c r="W11" s="266">
        <v>306.51</v>
      </c>
    </row>
    <row r="12" spans="1:30" ht="36" customHeight="1">
      <c r="A12" s="229" t="s">
        <v>165</v>
      </c>
      <c r="B12" s="230">
        <v>18.489999999999998</v>
      </c>
      <c r="C12" s="230">
        <v>35.85</v>
      </c>
      <c r="D12" s="230">
        <v>38.369999999999997</v>
      </c>
      <c r="E12" s="230">
        <v>54.19</v>
      </c>
      <c r="F12" s="230">
        <v>57.55</v>
      </c>
      <c r="G12" s="230">
        <v>79.78</v>
      </c>
      <c r="H12" s="232">
        <v>102.42</v>
      </c>
      <c r="I12" s="232">
        <v>113.55</v>
      </c>
      <c r="J12" s="232">
        <v>117.29</v>
      </c>
      <c r="K12" s="267">
        <v>121.13</v>
      </c>
      <c r="L12" s="393">
        <v>137.75</v>
      </c>
      <c r="M12" s="393">
        <v>142.66999999999999</v>
      </c>
      <c r="N12" s="393">
        <v>137.44</v>
      </c>
      <c r="O12" s="393">
        <v>145.1</v>
      </c>
      <c r="P12" s="393">
        <v>184.49</v>
      </c>
      <c r="Q12" s="393">
        <v>213.6</v>
      </c>
      <c r="R12" s="393">
        <v>259.79000000000002</v>
      </c>
      <c r="S12" s="393">
        <v>310.17</v>
      </c>
      <c r="T12" s="393">
        <v>371.08</v>
      </c>
      <c r="U12" s="393">
        <v>398.01</v>
      </c>
      <c r="V12" s="393">
        <v>432.19</v>
      </c>
      <c r="W12" s="393">
        <v>387.76</v>
      </c>
      <c r="Y12" s="35"/>
    </row>
    <row r="13" spans="1:30" ht="36" customHeight="1">
      <c r="A13" s="231" t="s">
        <v>224</v>
      </c>
      <c r="B13" s="232">
        <v>0.94</v>
      </c>
      <c r="C13" s="232">
        <v>2.39</v>
      </c>
      <c r="D13" s="232">
        <f>(605053881+35061644)/166.386/1000000</f>
        <v>3.8471717872897959</v>
      </c>
      <c r="E13" s="232">
        <f>(14247126.35+140423.56)/1000000</f>
        <v>14.387549910000001</v>
      </c>
      <c r="F13" s="232">
        <f>(15745423.58+689122.23)/1000000</f>
        <v>16.434545809999999</v>
      </c>
      <c r="G13" s="232">
        <f>(9291994.03+1035378.41)/1000000</f>
        <v>10.32737244</v>
      </c>
      <c r="H13" s="232">
        <f>(13729321.88+1200033.83)/1000000</f>
        <v>14.929355710000001</v>
      </c>
      <c r="I13" s="232">
        <f>(16811766.5+1532890.85)/1000000</f>
        <v>18.344657350000002</v>
      </c>
      <c r="J13" s="232">
        <v>18.59</v>
      </c>
      <c r="K13" s="240">
        <v>20.28</v>
      </c>
      <c r="L13" s="261">
        <f>(25958686.51+1237178.75)/1000000+6.82</f>
        <v>34.015865259999998</v>
      </c>
      <c r="M13" s="261">
        <f>(20727616.92+704636.36)/1000000+9.84</f>
        <v>31.272253280000001</v>
      </c>
      <c r="N13" s="261">
        <f>14.16+0.33+11.52</f>
        <v>26.009999999999998</v>
      </c>
      <c r="O13" s="261">
        <f>10.14+0.35+14.63</f>
        <v>25.12</v>
      </c>
      <c r="P13" s="261">
        <f>0.59+10.06+8.2</f>
        <v>18.850000000000001</v>
      </c>
      <c r="Q13" s="261">
        <f>12.21+68+12.33</f>
        <v>92.54</v>
      </c>
      <c r="R13" s="261">
        <f>23.75+0.97+16.89</f>
        <v>41.61</v>
      </c>
      <c r="S13" s="261">
        <f>19.08+0.9+19.02</f>
        <v>39</v>
      </c>
      <c r="T13" s="261">
        <f>32.42+5.36+2.14</f>
        <v>39.92</v>
      </c>
      <c r="U13" s="261">
        <v>30.12</v>
      </c>
      <c r="V13" s="261">
        <f>37.8+8.29+2.32</f>
        <v>48.41</v>
      </c>
      <c r="W13" s="261">
        <f>39.77+4.95+1.56</f>
        <v>46.280000000000008</v>
      </c>
      <c r="AD13" s="35"/>
    </row>
    <row r="14" spans="1:30" ht="36" customHeight="1">
      <c r="A14" s="227" t="s">
        <v>166</v>
      </c>
      <c r="B14" s="228"/>
      <c r="C14" s="228"/>
      <c r="D14" s="228"/>
      <c r="E14" s="228">
        <v>296.48</v>
      </c>
      <c r="F14" s="228">
        <v>632.85</v>
      </c>
      <c r="G14" s="228">
        <v>607.63</v>
      </c>
      <c r="H14" s="232">
        <v>1031.18</v>
      </c>
      <c r="I14" s="232">
        <v>960.48</v>
      </c>
      <c r="J14" s="232">
        <v>1073.99</v>
      </c>
      <c r="K14" s="267">
        <v>1181.6199999999999</v>
      </c>
      <c r="L14" s="267">
        <v>1244.44</v>
      </c>
      <c r="M14" s="267">
        <v>1345.3</v>
      </c>
      <c r="N14" s="267">
        <v>1724.05</v>
      </c>
      <c r="O14" s="267">
        <v>1154.8</v>
      </c>
      <c r="P14" s="267">
        <v>1185.1400000000001</v>
      </c>
      <c r="Q14" s="267">
        <v>1306.83</v>
      </c>
      <c r="R14" s="267">
        <v>1368.89</v>
      </c>
      <c r="S14" s="267">
        <v>1488.04</v>
      </c>
      <c r="T14" s="267">
        <v>1495.04</v>
      </c>
      <c r="U14" s="267">
        <v>1696.22</v>
      </c>
      <c r="V14" s="267">
        <v>1874.12</v>
      </c>
      <c r="W14" s="267">
        <v>1909.68</v>
      </c>
      <c r="AD14" s="35"/>
    </row>
    <row r="15" spans="1:30" ht="36" customHeight="1">
      <c r="A15" s="194" t="s">
        <v>167</v>
      </c>
      <c r="B15" s="193">
        <f t="shared" ref="B15:M15" si="0">B9-B11-B12-B13-B14</f>
        <v>98.08</v>
      </c>
      <c r="C15" s="193">
        <f t="shared" si="0"/>
        <v>115.19000000000001</v>
      </c>
      <c r="D15" s="193">
        <f t="shared" si="0"/>
        <v>130.4028282127102</v>
      </c>
      <c r="E15" s="193">
        <f t="shared" si="0"/>
        <v>593.81245009000008</v>
      </c>
      <c r="F15" s="193">
        <f t="shared" si="0"/>
        <v>337.05545418999986</v>
      </c>
      <c r="G15" s="193">
        <f t="shared" si="0"/>
        <v>384.47262756000009</v>
      </c>
      <c r="H15" s="193">
        <f t="shared" si="0"/>
        <v>414.07064428999979</v>
      </c>
      <c r="I15" s="193">
        <f t="shared" si="0"/>
        <v>438.34534264999979</v>
      </c>
      <c r="J15" s="193">
        <f t="shared" si="0"/>
        <v>488.81999999999994</v>
      </c>
      <c r="K15" s="193">
        <f t="shared" si="0"/>
        <v>508.10000000000014</v>
      </c>
      <c r="L15" s="193">
        <f t="shared" si="0"/>
        <v>515.66413473999978</v>
      </c>
      <c r="M15" s="193">
        <f t="shared" si="0"/>
        <v>442.21774672000015</v>
      </c>
      <c r="N15" s="193">
        <f t="shared" ref="N15:V15" si="1">N9-N11-N12-N13-N14</f>
        <v>1554.7099999999998</v>
      </c>
      <c r="O15" s="193">
        <f t="shared" si="1"/>
        <v>234.09000000000015</v>
      </c>
      <c r="P15" s="193">
        <f t="shared" si="1"/>
        <v>244.79999999999995</v>
      </c>
      <c r="Q15" s="193">
        <f t="shared" si="1"/>
        <v>186.88000000000011</v>
      </c>
      <c r="R15" s="193">
        <f t="shared" si="1"/>
        <v>269.68000000000006</v>
      </c>
      <c r="S15" s="193">
        <f t="shared" si="1"/>
        <v>295.61999999999989</v>
      </c>
      <c r="T15" s="193">
        <f t="shared" si="1"/>
        <v>313.59000000000015</v>
      </c>
      <c r="U15" s="193">
        <f t="shared" si="1"/>
        <v>336.50000000000023</v>
      </c>
      <c r="V15" s="193">
        <f t="shared" si="1"/>
        <v>377.44000000000005</v>
      </c>
      <c r="W15" s="193">
        <v>1231.1400000000001</v>
      </c>
      <c r="Y15" s="35"/>
    </row>
    <row r="16" spans="1:30" ht="9" customHeight="1" thickBot="1">
      <c r="A16" s="157"/>
      <c r="B16" s="157"/>
      <c r="C16" s="157"/>
      <c r="D16" s="157"/>
      <c r="E16" s="157"/>
      <c r="F16" s="157"/>
      <c r="G16" s="157"/>
      <c r="H16" s="157"/>
      <c r="I16" s="157"/>
      <c r="J16" s="86"/>
      <c r="K16" s="86"/>
      <c r="L16" s="157"/>
      <c r="M16" s="157"/>
      <c r="N16" s="157"/>
      <c r="O16" s="157"/>
      <c r="P16" s="157"/>
      <c r="Q16" s="157"/>
      <c r="R16" s="157"/>
      <c r="S16" s="157"/>
      <c r="T16" s="157"/>
      <c r="U16" s="157"/>
      <c r="V16" s="157"/>
      <c r="W16" s="157"/>
    </row>
    <row r="17" spans="2:25" ht="13.6" thickTop="1">
      <c r="K17" s="35"/>
      <c r="M17" s="35"/>
      <c r="O17" s="438"/>
    </row>
    <row r="18" spans="2:25">
      <c r="L18" s="35"/>
    </row>
    <row r="19" spans="2:25">
      <c r="Y19" s="540"/>
    </row>
    <row r="20" spans="2:25">
      <c r="Y20" s="540"/>
    </row>
    <row r="21" spans="2:25">
      <c r="P21" s="35"/>
      <c r="Q21" s="35"/>
      <c r="R21" s="35"/>
      <c r="Y21" s="540"/>
    </row>
    <row r="22" spans="2:25">
      <c r="Y22" s="540"/>
    </row>
    <row r="23" spans="2:25">
      <c r="Y23" s="540"/>
    </row>
    <row r="24" spans="2:25">
      <c r="B24">
        <v>2013</v>
      </c>
      <c r="D24">
        <v>3775.53</v>
      </c>
      <c r="E24">
        <v>3988.22</v>
      </c>
      <c r="F24">
        <f>E24/D24*100</f>
        <v>105.63338127362249</v>
      </c>
      <c r="Y24" s="540"/>
    </row>
    <row r="36" spans="16:16">
      <c r="P36" s="428"/>
    </row>
    <row r="51" spans="1:11">
      <c r="A51" t="s">
        <v>17</v>
      </c>
      <c r="B51" s="35" t="e">
        <f>SUM(#REF!)</f>
        <v>#REF!</v>
      </c>
      <c r="C51" s="35">
        <f t="shared" ref="C51:K51" si="2">SUM(B11:B15)</f>
        <v>171.41</v>
      </c>
      <c r="D51" s="35">
        <f t="shared" si="2"/>
        <v>215.79000000000002</v>
      </c>
      <c r="E51" s="35">
        <f t="shared" si="2"/>
        <v>248.8</v>
      </c>
      <c r="F51" s="35">
        <f t="shared" si="2"/>
        <v>1041.5100000000002</v>
      </c>
      <c r="G51" s="35">
        <f t="shared" si="2"/>
        <v>1133.8699999999999</v>
      </c>
      <c r="H51" s="35">
        <f t="shared" si="2"/>
        <v>1185.1600000000001</v>
      </c>
      <c r="I51" s="35">
        <f t="shared" si="2"/>
        <v>1690.7399999999998</v>
      </c>
      <c r="J51" s="35">
        <f t="shared" si="2"/>
        <v>1706.5999999999997</v>
      </c>
      <c r="K51" s="35">
        <f t="shared" si="2"/>
        <v>1930.86</v>
      </c>
    </row>
    <row r="54" spans="1:11" ht="23.3" customHeight="1">
      <c r="H54" s="213"/>
      <c r="I54" s="213"/>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6">
    <tabColor rgb="FF00B050"/>
    <pageSetUpPr fitToPage="1"/>
  </sheetPr>
  <dimension ref="A1:AD40"/>
  <sheetViews>
    <sheetView view="pageBreakPreview" zoomScale="75" zoomScaleNormal="100" zoomScaleSheetLayoutView="75" workbookViewId="0">
      <selection activeCell="W9" sqref="W9"/>
    </sheetView>
  </sheetViews>
  <sheetFormatPr baseColWidth="10" defaultRowHeight="12.9"/>
  <cols>
    <col min="1" max="1" width="32.625" customWidth="1"/>
    <col min="2" max="13" width="12.75" hidden="1" customWidth="1"/>
    <col min="14" max="23" width="13.75" customWidth="1"/>
  </cols>
  <sheetData>
    <row r="1" spans="1:30" ht="18" customHeight="1"/>
    <row r="2" spans="1:30" ht="18" customHeight="1"/>
    <row r="3" spans="1:30" ht="18" customHeight="1"/>
    <row r="4" spans="1:30" ht="20.399999999999999">
      <c r="A4" s="592" t="s">
        <v>243</v>
      </c>
      <c r="B4" s="592"/>
      <c r="C4" s="592"/>
      <c r="D4" s="592"/>
      <c r="E4" s="592"/>
      <c r="F4" s="592"/>
      <c r="G4" s="592"/>
      <c r="H4" s="592"/>
      <c r="I4" s="592"/>
      <c r="J4" s="592"/>
      <c r="K4" s="592"/>
      <c r="L4" s="592"/>
      <c r="M4" s="592"/>
      <c r="N4" s="592"/>
      <c r="O4" s="592"/>
      <c r="P4" s="592"/>
      <c r="Q4" s="592"/>
      <c r="R4" s="592"/>
      <c r="S4" s="592"/>
      <c r="T4" s="592"/>
      <c r="U4" s="592"/>
      <c r="V4" s="592"/>
      <c r="W4" s="592"/>
    </row>
    <row r="5" spans="1:30" ht="18" customHeight="1">
      <c r="A5" s="58"/>
      <c r="B5" s="58"/>
      <c r="C5" s="58"/>
      <c r="D5" s="58"/>
      <c r="E5" s="58"/>
      <c r="F5" s="58"/>
      <c r="G5" s="58"/>
      <c r="H5" s="58"/>
      <c r="I5" s="58"/>
      <c r="J5" s="58"/>
    </row>
    <row r="6" spans="1:30" ht="18" customHeight="1">
      <c r="A6" s="58"/>
      <c r="B6" s="58"/>
      <c r="C6" s="58"/>
      <c r="D6" s="58"/>
      <c r="E6" s="58"/>
      <c r="F6" s="58"/>
      <c r="G6" s="58"/>
      <c r="H6" s="58"/>
      <c r="I6" s="58"/>
      <c r="J6" s="58"/>
    </row>
    <row r="7" spans="1:30" ht="18.350000000000001">
      <c r="A7" s="197" t="s">
        <v>199</v>
      </c>
      <c r="B7" s="80">
        <v>1999</v>
      </c>
      <c r="C7" s="80">
        <v>2000</v>
      </c>
      <c r="D7" s="80">
        <v>2001</v>
      </c>
      <c r="E7" s="80">
        <v>2002</v>
      </c>
      <c r="F7" s="80">
        <v>2003</v>
      </c>
      <c r="G7" s="80">
        <v>2004</v>
      </c>
      <c r="H7" s="80">
        <v>2005</v>
      </c>
      <c r="I7" s="80">
        <v>2006</v>
      </c>
      <c r="J7" s="80">
        <v>2007</v>
      </c>
      <c r="K7" s="151">
        <v>2008</v>
      </c>
      <c r="L7" s="151">
        <v>2009</v>
      </c>
      <c r="M7" s="151">
        <v>2010</v>
      </c>
      <c r="N7" s="151">
        <v>2012</v>
      </c>
      <c r="O7" s="151">
        <v>2013</v>
      </c>
      <c r="P7" s="151">
        <v>2014</v>
      </c>
      <c r="Q7" s="151">
        <v>2015</v>
      </c>
      <c r="R7" s="151">
        <v>2016</v>
      </c>
      <c r="S7" s="151">
        <v>2007</v>
      </c>
      <c r="T7" s="151">
        <v>2018</v>
      </c>
      <c r="U7" s="151">
        <v>2019</v>
      </c>
      <c r="V7" s="151">
        <v>2020</v>
      </c>
      <c r="W7" s="151">
        <v>2021</v>
      </c>
    </row>
    <row r="8" spans="1:30" ht="9" customHeight="1" thickBot="1">
      <c r="B8" s="111"/>
      <c r="C8" s="111"/>
      <c r="D8" s="111"/>
      <c r="E8" s="111"/>
      <c r="F8" s="111"/>
      <c r="G8" s="111"/>
      <c r="H8" s="111"/>
      <c r="I8" s="252"/>
      <c r="J8" s="252"/>
    </row>
    <row r="9" spans="1:30" ht="36" customHeight="1" thickTop="1" thickBot="1">
      <c r="A9" s="475" t="s">
        <v>168</v>
      </c>
      <c r="B9" s="226">
        <f>'OBLIGAGIONS RECON. CAIB '!B15</f>
        <v>140.66999999999999</v>
      </c>
      <c r="C9" s="226">
        <f>'OBLIGAGIONS RECON. CAIB '!C15</f>
        <v>158.99</v>
      </c>
      <c r="D9" s="226">
        <f>'OBLIGAGIONS RECON. CAIB '!D15</f>
        <v>156</v>
      </c>
      <c r="E9" s="226">
        <f>'OBLIGAGIONS RECON. CAIB '!E15</f>
        <v>264.56</v>
      </c>
      <c r="F9" s="226">
        <f>'OBLIGAGIONS RECON. CAIB '!F15</f>
        <v>268.85000000000002</v>
      </c>
      <c r="G9" s="226">
        <f>'OBLIGAGIONS RECON. CAIB '!G15</f>
        <v>280.33</v>
      </c>
      <c r="H9" s="226">
        <f>'OBLIGAGIONS RECON. CAIB '!H15</f>
        <v>268.79000000000002</v>
      </c>
      <c r="I9" s="226">
        <f>'OBLIGAGIONS RECON. CAIB '!I15</f>
        <v>327.37</v>
      </c>
      <c r="J9" s="226">
        <f>'OBLIGAGIONS RECON. CAIB '!J15</f>
        <v>372.59</v>
      </c>
      <c r="K9" s="226">
        <f>'OBLIGAGIONS RECON. CAIB '!K15</f>
        <v>460.62</v>
      </c>
      <c r="L9" s="226">
        <f>'OBLIGAGIONS RECON. CAIB '!L15</f>
        <v>579.49</v>
      </c>
      <c r="M9" s="226">
        <f>'OBLIGAGIONS RECON. CAIB '!M15</f>
        <v>532.37</v>
      </c>
      <c r="N9" s="226">
        <f>'OBLIGAGIONS RECON. CAIB '!N15</f>
        <v>287.83398783999996</v>
      </c>
      <c r="O9" s="226">
        <f>'OBLIGAGIONS RECON. CAIB '!O15</f>
        <v>302.73</v>
      </c>
      <c r="P9" s="226">
        <f>'OBLIGAGIONS RECON. CAIB '!P15</f>
        <v>297.74</v>
      </c>
      <c r="Q9" s="226">
        <f>'OBLIGAGIONS RECON. CAIB '!Q15</f>
        <v>326.99</v>
      </c>
      <c r="R9" s="226">
        <f>'OBLIGAGIONS RECON. CAIB '!R15</f>
        <v>328.35</v>
      </c>
      <c r="S9" s="226">
        <f>'OBLIGAGIONS RECON. CAIB '!S15</f>
        <v>465.98</v>
      </c>
      <c r="T9" s="226">
        <f>'OBLIGAGIONS RECON. CAIB '!T15</f>
        <v>412.87</v>
      </c>
      <c r="U9" s="226">
        <f>'OBLIGAGIONS RECON. CAIB '!U15</f>
        <v>425.1</v>
      </c>
      <c r="V9" s="226">
        <f>'OBLIGAGIONS RECON. CAIB '!V15</f>
        <v>420.74</v>
      </c>
      <c r="W9" s="226">
        <f>'OBLIGAGIONS RECON. CAIB '!W15</f>
        <v>453.67</v>
      </c>
    </row>
    <row r="10" spans="1:30" ht="9" customHeight="1" thickTop="1">
      <c r="A10" s="195"/>
      <c r="B10" s="199"/>
      <c r="C10" s="199"/>
      <c r="D10" s="199"/>
      <c r="E10" s="199"/>
      <c r="F10" s="199"/>
      <c r="G10" s="199"/>
      <c r="H10" s="444"/>
      <c r="I10" s="254"/>
      <c r="J10" s="254"/>
    </row>
    <row r="11" spans="1:30" ht="36" customHeight="1">
      <c r="A11" s="227" t="s">
        <v>169</v>
      </c>
      <c r="B11" s="228">
        <v>53.51</v>
      </c>
      <c r="C11" s="228">
        <v>70.12</v>
      </c>
      <c r="D11" s="228">
        <v>59.43</v>
      </c>
      <c r="E11" s="228">
        <v>91.4</v>
      </c>
      <c r="F11" s="228">
        <v>105.74</v>
      </c>
      <c r="G11" s="228">
        <v>85.5</v>
      </c>
      <c r="H11" s="228">
        <v>88.54</v>
      </c>
      <c r="I11" s="228">
        <v>119.47</v>
      </c>
      <c r="J11" s="228">
        <v>167.33</v>
      </c>
      <c r="K11" s="266">
        <v>193.27</v>
      </c>
      <c r="L11" s="266">
        <v>257.14</v>
      </c>
      <c r="M11" s="266">
        <v>252.17</v>
      </c>
      <c r="N11" s="266">
        <v>100.48</v>
      </c>
      <c r="O11" s="266">
        <v>138.81</v>
      </c>
      <c r="P11" s="266">
        <v>120.76</v>
      </c>
      <c r="Q11" s="266">
        <v>156.85</v>
      </c>
      <c r="R11" s="266">
        <v>197.06</v>
      </c>
      <c r="S11" s="266">
        <v>329.43</v>
      </c>
      <c r="T11" s="266">
        <v>254.24</v>
      </c>
      <c r="U11" s="266">
        <v>249.56</v>
      </c>
      <c r="V11" s="266">
        <v>239.67</v>
      </c>
      <c r="W11" s="266">
        <v>276.64999999999998</v>
      </c>
    </row>
    <row r="12" spans="1:30" ht="36" customHeight="1">
      <c r="A12" s="229" t="s">
        <v>171</v>
      </c>
      <c r="B12" s="232">
        <v>5.03</v>
      </c>
      <c r="C12" s="232">
        <v>15.74</v>
      </c>
      <c r="D12" s="232">
        <v>17.440000000000001</v>
      </c>
      <c r="E12" s="232">
        <v>66.55</v>
      </c>
      <c r="F12" s="232">
        <v>54.88</v>
      </c>
      <c r="G12" s="232">
        <v>70.290000000000006</v>
      </c>
      <c r="H12" s="232">
        <v>64.86</v>
      </c>
      <c r="I12" s="232">
        <v>75.88</v>
      </c>
      <c r="J12" s="232">
        <v>81.33</v>
      </c>
      <c r="K12" s="267">
        <v>118.53</v>
      </c>
      <c r="L12" s="393">
        <v>155.49</v>
      </c>
      <c r="M12" s="393">
        <v>132.13999999999999</v>
      </c>
      <c r="N12" s="266">
        <v>100.11</v>
      </c>
      <c r="O12" s="266">
        <v>94.51</v>
      </c>
      <c r="P12" s="266">
        <v>105.92</v>
      </c>
      <c r="Q12" s="266">
        <v>96.74</v>
      </c>
      <c r="R12" s="266">
        <v>66.489999999999995</v>
      </c>
      <c r="S12" s="266">
        <v>53.95</v>
      </c>
      <c r="T12" s="266">
        <v>56.01</v>
      </c>
      <c r="U12" s="266">
        <v>61.39</v>
      </c>
      <c r="V12" s="266">
        <v>68.8</v>
      </c>
      <c r="W12" s="266">
        <v>49.81</v>
      </c>
    </row>
    <row r="13" spans="1:30" ht="36" customHeight="1">
      <c r="A13" s="231" t="s">
        <v>225</v>
      </c>
      <c r="B13" s="232">
        <v>22.27</v>
      </c>
      <c r="C13" s="232">
        <v>13.36</v>
      </c>
      <c r="D13" s="232">
        <f>(1902607173+13416950)/166.386/1000000</f>
        <v>11.515536902143211</v>
      </c>
      <c r="E13" s="232">
        <f>(16237611.34+12000)/1000000</f>
        <v>16.249611340000001</v>
      </c>
      <c r="F13" s="232">
        <f>(14975377.91+409856.07)/1000000</f>
        <v>15.385233980000001</v>
      </c>
      <c r="G13" s="232">
        <f>(23847030.06+96750.01)/1000000</f>
        <v>23.943780069999999</v>
      </c>
      <c r="H13" s="232">
        <f>(24890505.2+186769.06)/1000000</f>
        <v>25.077274259999999</v>
      </c>
      <c r="I13" s="232">
        <f>(25345257.94+65668.84)/1000000</f>
        <v>25.41092678</v>
      </c>
      <c r="J13" s="232">
        <v>43.72</v>
      </c>
      <c r="K13" s="240">
        <v>59.85</v>
      </c>
      <c r="L13" s="261">
        <f>(72786957.85+36000)/1000000+5.62</f>
        <v>78.442957849999999</v>
      </c>
      <c r="M13" s="261">
        <f>(55977892.46+61503.28)/1000000+5.45</f>
        <v>61.489395740000006</v>
      </c>
      <c r="N13" s="266">
        <f>40.93+0+4.48</f>
        <v>45.41</v>
      </c>
      <c r="O13" s="266">
        <f>32.94+4.33</f>
        <v>37.269999999999996</v>
      </c>
      <c r="P13" s="266">
        <f>29.58+4.42</f>
        <v>34</v>
      </c>
      <c r="Q13" s="266">
        <f>39.06+3.69</f>
        <v>42.75</v>
      </c>
      <c r="R13" s="266">
        <f>28.54+2.72</f>
        <v>31.259999999999998</v>
      </c>
      <c r="S13" s="266">
        <f>42.31+2.4</f>
        <v>44.71</v>
      </c>
      <c r="T13" s="266">
        <f>42.9+5.01</f>
        <v>47.91</v>
      </c>
      <c r="U13" s="266">
        <v>46.02</v>
      </c>
      <c r="V13" s="266">
        <f>45.26+5.55+0.08</f>
        <v>50.889999999999993</v>
      </c>
      <c r="W13" s="266">
        <f>49.25+4+9</f>
        <v>62.25</v>
      </c>
      <c r="AD13" s="35"/>
    </row>
    <row r="14" spans="1:30" ht="36" customHeight="1">
      <c r="A14" s="227" t="s">
        <v>170</v>
      </c>
      <c r="B14" s="232"/>
      <c r="C14" s="232"/>
      <c r="D14" s="232"/>
      <c r="E14" s="232">
        <v>21.28</v>
      </c>
      <c r="F14" s="232">
        <v>25.16</v>
      </c>
      <c r="G14" s="232">
        <v>27.86</v>
      </c>
      <c r="H14" s="232">
        <v>8.6300000000000008</v>
      </c>
      <c r="I14" s="232">
        <v>66.97</v>
      </c>
      <c r="J14" s="232">
        <v>43.67</v>
      </c>
      <c r="K14" s="267">
        <v>51.94</v>
      </c>
      <c r="L14" s="267">
        <v>51.77</v>
      </c>
      <c r="M14" s="267">
        <v>54.13</v>
      </c>
      <c r="N14" s="266">
        <v>26.11</v>
      </c>
      <c r="O14" s="266">
        <v>21.29</v>
      </c>
      <c r="P14" s="266">
        <v>25.72</v>
      </c>
      <c r="Q14" s="266">
        <v>25.5</v>
      </c>
      <c r="R14" s="266">
        <v>27.66</v>
      </c>
      <c r="S14" s="266">
        <v>28.79</v>
      </c>
      <c r="T14" s="266">
        <v>34.869999999999997</v>
      </c>
      <c r="U14" s="266">
        <v>44.64</v>
      </c>
      <c r="V14" s="266">
        <v>38.57</v>
      </c>
      <c r="W14" s="266">
        <v>55.71</v>
      </c>
      <c r="AD14" s="35"/>
    </row>
    <row r="15" spans="1:30" ht="30.1" customHeight="1">
      <c r="A15" s="194" t="s">
        <v>167</v>
      </c>
      <c r="B15" s="193">
        <f t="shared" ref="B15:M15" si="0">B9-B11-B12-B13-B14</f>
        <v>59.86</v>
      </c>
      <c r="C15" s="193">
        <f t="shared" si="0"/>
        <v>59.77000000000001</v>
      </c>
      <c r="D15" s="193">
        <f t="shared" si="0"/>
        <v>67.614463097856785</v>
      </c>
      <c r="E15" s="193">
        <f t="shared" si="0"/>
        <v>69.080388659999997</v>
      </c>
      <c r="F15" s="193">
        <f t="shared" si="0"/>
        <v>67.684766020000026</v>
      </c>
      <c r="G15" s="193">
        <f t="shared" si="0"/>
        <v>72.736219929999976</v>
      </c>
      <c r="H15" s="193">
        <f t="shared" si="0"/>
        <v>81.682725740000009</v>
      </c>
      <c r="I15" s="193">
        <f t="shared" si="0"/>
        <v>39.639073220000014</v>
      </c>
      <c r="J15" s="193">
        <f t="shared" si="0"/>
        <v>36.539999999999964</v>
      </c>
      <c r="K15" s="193">
        <f t="shared" si="0"/>
        <v>37.03000000000003</v>
      </c>
      <c r="L15" s="193">
        <f t="shared" si="0"/>
        <v>36.647042150000011</v>
      </c>
      <c r="M15" s="193">
        <f t="shared" si="0"/>
        <v>32.44060426000005</v>
      </c>
      <c r="N15" s="440">
        <f t="shared" ref="N15:T15" si="1">N9-N11-N12-N13-N14</f>
        <v>15.72398783999995</v>
      </c>
      <c r="O15" s="440">
        <f t="shared" si="1"/>
        <v>10.850000000000016</v>
      </c>
      <c r="P15" s="440">
        <f t="shared" si="1"/>
        <v>11.340000000000018</v>
      </c>
      <c r="Q15" s="440">
        <f t="shared" si="1"/>
        <v>5.1500000000000199</v>
      </c>
      <c r="R15" s="440">
        <f t="shared" si="1"/>
        <v>5.8800000000000274</v>
      </c>
      <c r="S15" s="440">
        <f t="shared" si="1"/>
        <v>9.1000000000000085</v>
      </c>
      <c r="T15" s="440">
        <f t="shared" si="1"/>
        <v>19.840000000000011</v>
      </c>
      <c r="U15" s="440">
        <v>23.49</v>
      </c>
      <c r="V15" s="440">
        <v>22.81</v>
      </c>
      <c r="W15" s="440">
        <v>9.25</v>
      </c>
      <c r="Y15" s="35"/>
      <c r="Z15" s="35"/>
    </row>
    <row r="16" spans="1:30" ht="9" customHeight="1" thickBot="1">
      <c r="A16" s="157"/>
      <c r="B16" s="157"/>
      <c r="C16" s="157"/>
      <c r="D16" s="157"/>
      <c r="E16" s="157"/>
      <c r="F16" s="157"/>
      <c r="G16" s="157"/>
      <c r="H16" s="157"/>
      <c r="I16" s="157"/>
      <c r="J16" s="255"/>
      <c r="K16" s="255"/>
      <c r="L16" s="157"/>
      <c r="M16" s="157"/>
      <c r="N16" s="157"/>
      <c r="O16" s="157"/>
      <c r="P16" s="157"/>
      <c r="Q16" s="157"/>
      <c r="R16" s="157"/>
      <c r="S16" s="157"/>
      <c r="T16" s="157"/>
      <c r="U16" s="157"/>
      <c r="V16" s="157"/>
      <c r="W16" s="157"/>
    </row>
    <row r="17" spans="2:11" ht="13.6" thickTop="1">
      <c r="K17" s="35"/>
    </row>
    <row r="24" spans="2:11">
      <c r="B24">
        <v>2013</v>
      </c>
      <c r="D24">
        <v>3775.53</v>
      </c>
      <c r="E24">
        <v>3988.22</v>
      </c>
      <c r="F24">
        <f>E24/D24*100</f>
        <v>105.63338127362249</v>
      </c>
    </row>
    <row r="37" spans="2:16">
      <c r="P37" s="428"/>
    </row>
    <row r="40" spans="2:16" ht="15.65">
      <c r="B40" s="39"/>
      <c r="C40" s="39"/>
      <c r="D40" s="39"/>
      <c r="E40" s="39"/>
      <c r="F40" s="39"/>
      <c r="G40" s="39"/>
      <c r="H40" s="39"/>
      <c r="I40" s="39"/>
      <c r="J40" s="39"/>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7">
    <tabColor rgb="FF00B050"/>
  </sheetPr>
  <dimension ref="A1:W31"/>
  <sheetViews>
    <sheetView view="pageBreakPreview" zoomScale="60" zoomScaleNormal="100" workbookViewId="0">
      <selection activeCell="W8" sqref="W8"/>
    </sheetView>
  </sheetViews>
  <sheetFormatPr baseColWidth="10" defaultRowHeight="12.9"/>
  <cols>
    <col min="1" max="1" width="36" customWidth="1"/>
    <col min="2" max="7" width="12.75" hidden="1" customWidth="1"/>
    <col min="8" max="13" width="12.25" hidden="1" customWidth="1"/>
    <col min="14" max="23" width="12.875" customWidth="1"/>
  </cols>
  <sheetData>
    <row r="1" spans="1:23" ht="18" customHeight="1"/>
    <row r="2" spans="1:23" ht="18" customHeight="1"/>
    <row r="3" spans="1:23" ht="18" customHeight="1"/>
    <row r="4" spans="1:23" ht="20.399999999999999">
      <c r="A4" s="592" t="s">
        <v>244</v>
      </c>
      <c r="B4" s="592"/>
      <c r="C4" s="592"/>
      <c r="D4" s="592"/>
      <c r="E4" s="592"/>
      <c r="F4" s="592"/>
      <c r="G4" s="592"/>
      <c r="H4" s="592"/>
      <c r="I4" s="592"/>
      <c r="J4" s="592"/>
      <c r="K4" s="592"/>
      <c r="L4" s="592"/>
      <c r="M4" s="592"/>
      <c r="N4" s="592"/>
      <c r="O4" s="592"/>
      <c r="P4" s="592"/>
      <c r="Q4" s="592"/>
      <c r="R4" s="592"/>
      <c r="S4" s="592"/>
      <c r="T4" s="592"/>
      <c r="U4" s="592"/>
      <c r="V4" s="592"/>
      <c r="W4" s="592"/>
    </row>
    <row r="5" spans="1:23" ht="18" customHeight="1"/>
    <row r="6" spans="1:23" ht="18" customHeight="1">
      <c r="G6" s="73"/>
      <c r="H6" s="73"/>
      <c r="I6" s="73"/>
    </row>
    <row r="7" spans="1:23" ht="18.350000000000001">
      <c r="A7" s="197" t="s">
        <v>199</v>
      </c>
      <c r="B7" s="80">
        <v>1999</v>
      </c>
      <c r="C7" s="80">
        <v>2000</v>
      </c>
      <c r="D7" s="80">
        <v>2001</v>
      </c>
      <c r="E7" s="80">
        <v>2002</v>
      </c>
      <c r="F7" s="80">
        <v>2003</v>
      </c>
      <c r="G7" s="80">
        <v>2004</v>
      </c>
      <c r="H7" s="80">
        <v>2005</v>
      </c>
      <c r="I7" s="80">
        <v>2006</v>
      </c>
      <c r="J7" s="80">
        <v>2007</v>
      </c>
      <c r="K7" s="151">
        <v>2008</v>
      </c>
      <c r="L7" s="151">
        <v>2009</v>
      </c>
      <c r="M7" s="151">
        <v>2010</v>
      </c>
      <c r="N7" s="151">
        <v>2012</v>
      </c>
      <c r="O7" s="151">
        <v>2013</v>
      </c>
      <c r="P7" s="151">
        <v>2014</v>
      </c>
      <c r="Q7" s="151">
        <v>2015</v>
      </c>
      <c r="R7" s="151">
        <v>2016</v>
      </c>
      <c r="S7" s="151">
        <v>2017</v>
      </c>
      <c r="T7" s="151">
        <v>2018</v>
      </c>
      <c r="U7" s="151">
        <v>2019</v>
      </c>
      <c r="V7" s="151">
        <v>2020</v>
      </c>
      <c r="W7" s="151">
        <v>2021</v>
      </c>
    </row>
    <row r="8" spans="1:23" ht="9" customHeight="1" thickBot="1">
      <c r="A8" s="157"/>
      <c r="B8" s="86"/>
      <c r="C8" s="86"/>
      <c r="D8" s="86"/>
      <c r="E8" s="86"/>
      <c r="F8" s="86"/>
      <c r="G8" s="86"/>
      <c r="H8" s="86"/>
      <c r="I8" s="86"/>
      <c r="J8" s="86"/>
      <c r="K8" s="157"/>
      <c r="L8" s="157"/>
      <c r="M8" s="157"/>
      <c r="N8" s="157"/>
      <c r="O8" s="157"/>
      <c r="P8" s="157"/>
      <c r="Q8" s="157"/>
      <c r="R8" s="157"/>
      <c r="S8" s="157"/>
      <c r="T8" s="157"/>
      <c r="U8" s="157"/>
      <c r="V8" s="157"/>
      <c r="W8" s="157"/>
    </row>
    <row r="9" spans="1:23" ht="38.25" customHeight="1" thickTop="1">
      <c r="A9" s="531" t="s">
        <v>163</v>
      </c>
      <c r="B9" s="201">
        <f>'OBLIGAGIONS RECON. CAIB '!B13</f>
        <v>171.41</v>
      </c>
      <c r="C9" s="201">
        <f>'OBLIGAGIONS RECON. CAIB '!C13</f>
        <v>215.79</v>
      </c>
      <c r="D9" s="201">
        <f>'OBLIGAGIONS RECON. CAIB '!D13</f>
        <v>248.8</v>
      </c>
      <c r="E9" s="201">
        <f>'OBLIGAGIONS RECON. CAIB '!E13</f>
        <v>1041.51</v>
      </c>
      <c r="F9" s="201">
        <f>'OBLIGAGIONS RECON. CAIB '!F13</f>
        <v>1133.8699999999999</v>
      </c>
      <c r="G9" s="201">
        <f>'OBLIGAGIONS RECON. CAIB '!G13</f>
        <v>1185.1600000000001</v>
      </c>
      <c r="H9" s="201">
        <f>'OBLIGAGIONS RECON. CAIB '!H13</f>
        <v>1690.74</v>
      </c>
      <c r="I9" s="201">
        <f>'OBLIGAGIONS RECON. CAIB '!I13</f>
        <v>1706.6</v>
      </c>
      <c r="J9" s="201">
        <f>'OBLIGAGIONS RECON. CAIB '!J13</f>
        <v>1930.86</v>
      </c>
      <c r="K9" s="201">
        <f>'OBLIGAGIONS RECON. CAIB '!K13</f>
        <v>2105.65</v>
      </c>
      <c r="L9" s="201">
        <f>'OBLIGAGIONS RECON. CAIB '!L13</f>
        <v>2261.58</v>
      </c>
      <c r="M9" s="201">
        <f>'OBLIGAGIONS RECON. CAIB '!M13</f>
        <v>2290.2800000000002</v>
      </c>
      <c r="N9" s="201">
        <f>'OBLIGAGIONS RECON. CAIB '!N13</f>
        <v>3701.4977252800004</v>
      </c>
      <c r="O9" s="201">
        <f>'OBLIGAGIONS RECON. CAIB '!O13</f>
        <v>1790.59</v>
      </c>
      <c r="P9" s="201">
        <f>'OBLIGAGIONS RECON. CAIB '!P13</f>
        <v>1874.82</v>
      </c>
      <c r="Q9" s="201">
        <f>'OBLIGAGIONS RECON. CAIB '!Q13</f>
        <v>2061.52</v>
      </c>
      <c r="R9" s="201">
        <f>'OBLIGAGIONS RECON. CAIB '!R13</f>
        <v>2193.63</v>
      </c>
      <c r="S9" s="201">
        <f>'OBLIGAGIONS RECON. CAIB '!S13</f>
        <v>2410.5700000000002</v>
      </c>
      <c r="T9" s="201">
        <f>'OBLIGAGIONS RECON. CAIB '!T13</f>
        <v>2493.34</v>
      </c>
      <c r="U9" s="201">
        <f>'OBLIGAGIONS RECON. CAIB '!U13</f>
        <v>2765.86</v>
      </c>
      <c r="V9" s="201">
        <f>'OBLIGAGIONS RECON. CAIB '!V13</f>
        <v>3029.83</v>
      </c>
      <c r="W9" s="201">
        <f>'OBLIGAGIONS RECON. CAIB '!W13</f>
        <v>3881.37</v>
      </c>
    </row>
    <row r="10" spans="1:23" ht="38.25" customHeight="1">
      <c r="A10" s="531" t="s">
        <v>168</v>
      </c>
      <c r="B10" s="201">
        <f>'OBLIGAGIONS RECON. CAIB '!B15</f>
        <v>140.66999999999999</v>
      </c>
      <c r="C10" s="201">
        <f>'OBLIGAGIONS RECON. CAIB '!C15</f>
        <v>158.99</v>
      </c>
      <c r="D10" s="201">
        <f>'OBLIGAGIONS RECON. CAIB '!D15</f>
        <v>156</v>
      </c>
      <c r="E10" s="201">
        <f>'OBLIGAGIONS RECON. CAIB '!E15</f>
        <v>264.56</v>
      </c>
      <c r="F10" s="201">
        <f>'OBLIGAGIONS RECON. CAIB '!F15</f>
        <v>268.85000000000002</v>
      </c>
      <c r="G10" s="201">
        <f>'OBLIGAGIONS RECON. CAIB '!G15</f>
        <v>280.33</v>
      </c>
      <c r="H10" s="201">
        <f>'OBLIGAGIONS RECON. CAIB '!H15</f>
        <v>268.79000000000002</v>
      </c>
      <c r="I10" s="201">
        <f>'OBLIGAGIONS RECON. CAIB '!I15</f>
        <v>327.37</v>
      </c>
      <c r="J10" s="201">
        <f>'OBLIGAGIONS RECON. CAIB '!J15</f>
        <v>372.59</v>
      </c>
      <c r="K10" s="201">
        <f>'OBLIGAGIONS RECON. CAIB '!K15</f>
        <v>460.62</v>
      </c>
      <c r="L10" s="201">
        <f>'OBLIGAGIONS RECON. CAIB '!L15</f>
        <v>579.49</v>
      </c>
      <c r="M10" s="201">
        <f>'OBLIGAGIONS RECON. CAIB '!M15</f>
        <v>532.37</v>
      </c>
      <c r="N10" s="201">
        <f>'OBLIGAGIONS RECON. CAIB '!N15</f>
        <v>287.83398783999996</v>
      </c>
      <c r="O10" s="201">
        <f>'OBLIGAGIONS RECON. CAIB '!O15</f>
        <v>302.73</v>
      </c>
      <c r="P10" s="201">
        <f>'OBLIGAGIONS RECON. CAIB '!P15</f>
        <v>297.74</v>
      </c>
      <c r="Q10" s="201">
        <f>'OBLIGAGIONS RECON. CAIB '!Q15</f>
        <v>326.99</v>
      </c>
      <c r="R10" s="201">
        <f>'OBLIGAGIONS RECON. CAIB '!R15</f>
        <v>328.35</v>
      </c>
      <c r="S10" s="201">
        <f>'OBLIGAGIONS RECON. CAIB '!S15</f>
        <v>465.98</v>
      </c>
      <c r="T10" s="201">
        <f>'OBLIGAGIONS RECON. CAIB '!T15</f>
        <v>412.87</v>
      </c>
      <c r="U10" s="201">
        <f>'OBLIGAGIONS RECON. CAIB '!U15</f>
        <v>425.1</v>
      </c>
      <c r="V10" s="201">
        <f>'OBLIGAGIONS RECON. CAIB '!V15</f>
        <v>420.74</v>
      </c>
      <c r="W10" s="201">
        <f>'OBLIGAGIONS RECON. CAIB '!W15</f>
        <v>453.67</v>
      </c>
    </row>
    <row r="11" spans="1:23" ht="9" customHeight="1" thickBot="1">
      <c r="A11" s="200"/>
      <c r="B11" s="201"/>
      <c r="C11" s="201"/>
      <c r="D11" s="201"/>
      <c r="E11" s="201"/>
      <c r="F11" s="201"/>
      <c r="G11" s="201"/>
      <c r="H11" s="201"/>
      <c r="I11" s="253"/>
      <c r="J11" s="253"/>
    </row>
    <row r="12" spans="1:23" s="90" customFormat="1" ht="21.1" customHeight="1" thickTop="1" thickBot="1">
      <c r="A12" s="224" t="s">
        <v>172</v>
      </c>
      <c r="B12" s="233">
        <f t="shared" ref="B12:M12" si="0">SUM(B9:B10)</f>
        <v>312.08</v>
      </c>
      <c r="C12" s="233">
        <f t="shared" si="0"/>
        <v>374.78</v>
      </c>
      <c r="D12" s="233">
        <f t="shared" si="0"/>
        <v>404.8</v>
      </c>
      <c r="E12" s="233">
        <f t="shared" si="0"/>
        <v>1306.07</v>
      </c>
      <c r="F12" s="233">
        <f t="shared" si="0"/>
        <v>1402.7199999999998</v>
      </c>
      <c r="G12" s="233">
        <f t="shared" si="0"/>
        <v>1465.49</v>
      </c>
      <c r="H12" s="233">
        <f t="shared" si="0"/>
        <v>1959.53</v>
      </c>
      <c r="I12" s="233">
        <f t="shared" si="0"/>
        <v>2033.9699999999998</v>
      </c>
      <c r="J12" s="233">
        <f t="shared" si="0"/>
        <v>2303.4499999999998</v>
      </c>
      <c r="K12" s="233">
        <f t="shared" si="0"/>
        <v>2566.27</v>
      </c>
      <c r="L12" s="233">
        <f t="shared" si="0"/>
        <v>2841.0699999999997</v>
      </c>
      <c r="M12" s="233">
        <f t="shared" si="0"/>
        <v>2822.65</v>
      </c>
      <c r="N12" s="233">
        <f t="shared" ref="N12" si="1">SUM(N9:N10)</f>
        <v>3989.3317131200001</v>
      </c>
      <c r="O12" s="233">
        <f>SUM(O9:O10)</f>
        <v>2093.3199999999997</v>
      </c>
      <c r="P12" s="233">
        <f>SUM(P9:P10)</f>
        <v>2172.56</v>
      </c>
      <c r="Q12" s="233">
        <f>SUM(Q9:Q10)</f>
        <v>2388.5100000000002</v>
      </c>
      <c r="R12" s="233">
        <f>SUM(R9:R10)</f>
        <v>2521.98</v>
      </c>
      <c r="S12" s="233">
        <f t="shared" ref="S12:V12" si="2">SUM(S9:S10)</f>
        <v>2876.55</v>
      </c>
      <c r="T12" s="233">
        <f t="shared" si="2"/>
        <v>2906.21</v>
      </c>
      <c r="U12" s="233">
        <f t="shared" si="2"/>
        <v>3190.96</v>
      </c>
      <c r="V12" s="233">
        <f t="shared" si="2"/>
        <v>3450.5699999999997</v>
      </c>
      <c r="W12" s="233">
        <f t="shared" ref="W12" si="3">SUM(W9:W10)</f>
        <v>4335.04</v>
      </c>
    </row>
    <row r="13" spans="1:23" ht="9" customHeight="1" thickTop="1"/>
    <row r="24" spans="2:15">
      <c r="B24">
        <v>2013</v>
      </c>
      <c r="D24">
        <v>3775.53</v>
      </c>
      <c r="E24">
        <v>3988.22</v>
      </c>
      <c r="F24">
        <f>E24/D24*100</f>
        <v>105.63338127362249</v>
      </c>
    </row>
    <row r="31" spans="2:15">
      <c r="O31" s="428"/>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8">
    <tabColor rgb="FF00B050"/>
  </sheetPr>
  <dimension ref="A1:W38"/>
  <sheetViews>
    <sheetView topLeftCell="A10" zoomScaleNormal="100" workbookViewId="0">
      <selection activeCell="W8" sqref="W8"/>
    </sheetView>
  </sheetViews>
  <sheetFormatPr baseColWidth="10" defaultRowHeight="12.9"/>
  <cols>
    <col min="1" max="1" width="36.25" customWidth="1"/>
    <col min="2" max="7" width="12.75" hidden="1" customWidth="1"/>
    <col min="8" max="8" width="2.125" hidden="1" customWidth="1"/>
    <col min="9" max="13" width="12.75" hidden="1" customWidth="1"/>
    <col min="14" max="23" width="13.25" customWidth="1"/>
  </cols>
  <sheetData>
    <row r="1" spans="1:23" ht="18" customHeight="1"/>
    <row r="2" spans="1:23" ht="18" customHeight="1"/>
    <row r="3" spans="1:23" ht="18" customHeight="1"/>
    <row r="4" spans="1:23" ht="20.399999999999999">
      <c r="A4" s="592" t="s">
        <v>245</v>
      </c>
      <c r="B4" s="592"/>
      <c r="C4" s="592"/>
      <c r="D4" s="592"/>
      <c r="E4" s="592"/>
      <c r="F4" s="592"/>
      <c r="G4" s="592"/>
      <c r="H4" s="592"/>
      <c r="I4" s="592"/>
      <c r="J4" s="592"/>
      <c r="K4" s="592"/>
      <c r="L4" s="592"/>
      <c r="M4" s="592"/>
      <c r="N4" s="592"/>
      <c r="O4" s="592"/>
      <c r="P4" s="592"/>
      <c r="Q4" s="592"/>
      <c r="R4" s="592"/>
      <c r="S4" s="592"/>
      <c r="T4" s="592"/>
      <c r="U4" s="592"/>
      <c r="V4" s="592"/>
      <c r="W4" s="592"/>
    </row>
    <row r="5" spans="1:23" ht="18" customHeight="1"/>
    <row r="6" spans="1:23" ht="18" customHeight="1">
      <c r="G6" s="73"/>
      <c r="H6" s="73"/>
      <c r="I6" s="73"/>
    </row>
    <row r="7" spans="1:23" ht="18.350000000000001">
      <c r="A7" s="197" t="s">
        <v>199</v>
      </c>
      <c r="B7" s="202">
        <v>1999</v>
      </c>
      <c r="C7" s="202">
        <v>2000</v>
      </c>
      <c r="D7" s="202">
        <v>2001</v>
      </c>
      <c r="E7" s="202">
        <v>2002</v>
      </c>
      <c r="F7" s="202">
        <v>2003</v>
      </c>
      <c r="G7" s="202">
        <v>2004</v>
      </c>
      <c r="H7" s="202">
        <v>2005</v>
      </c>
      <c r="I7" s="80">
        <v>2006</v>
      </c>
      <c r="J7" s="80">
        <v>2007</v>
      </c>
      <c r="K7" s="265">
        <v>2008</v>
      </c>
      <c r="L7" s="265">
        <v>2009</v>
      </c>
      <c r="M7" s="265">
        <v>2010</v>
      </c>
      <c r="N7" s="265">
        <v>2012</v>
      </c>
      <c r="O7" s="265">
        <v>2013</v>
      </c>
      <c r="P7" s="265">
        <v>2014</v>
      </c>
      <c r="Q7" s="265">
        <v>2015</v>
      </c>
      <c r="R7" s="265">
        <v>2016</v>
      </c>
      <c r="S7" s="265">
        <v>2017</v>
      </c>
      <c r="T7" s="265">
        <v>2018</v>
      </c>
      <c r="U7" s="265">
        <v>2019</v>
      </c>
      <c r="V7" s="265">
        <v>2020</v>
      </c>
      <c r="W7" s="265">
        <v>2021</v>
      </c>
    </row>
    <row r="8" spans="1:23" ht="9" customHeight="1" thickBot="1">
      <c r="A8" s="157"/>
      <c r="B8" s="205"/>
      <c r="C8" s="205"/>
      <c r="D8" s="205"/>
      <c r="E8" s="205"/>
      <c r="F8" s="205"/>
      <c r="G8" s="205"/>
      <c r="H8" s="205"/>
      <c r="I8" s="86"/>
      <c r="J8" s="86"/>
      <c r="K8" s="157"/>
      <c r="L8" s="157"/>
      <c r="M8" s="157"/>
      <c r="N8" s="157"/>
      <c r="O8" s="157"/>
      <c r="P8" s="157"/>
      <c r="Q8" s="157"/>
      <c r="R8" s="157"/>
      <c r="S8" s="157"/>
      <c r="T8" s="157"/>
      <c r="U8" s="157"/>
      <c r="V8" s="157"/>
      <c r="W8" s="157"/>
    </row>
    <row r="9" spans="1:23" ht="59.95" customHeight="1" thickTop="1">
      <c r="A9" s="200" t="s">
        <v>173</v>
      </c>
      <c r="B9" s="204">
        <f>'OBLIGACIONS CAPITOL 4 CAIB'!B11</f>
        <v>53.9</v>
      </c>
      <c r="C9" s="204">
        <f>'OBLIGACIONS CAPITOL 4 CAIB'!C11</f>
        <v>62.36</v>
      </c>
      <c r="D9" s="204">
        <f>'OBLIGACIONS CAPITOL 4 CAIB'!D11</f>
        <v>76.180000000000007</v>
      </c>
      <c r="E9" s="204">
        <f>'OBLIGACIONS CAPITOL 4 CAIB'!E11</f>
        <v>82.64</v>
      </c>
      <c r="F9" s="204">
        <f>'OBLIGACIONS CAPITOL 4 CAIB'!F11</f>
        <v>89.98</v>
      </c>
      <c r="G9" s="204">
        <f>'OBLIGACIONS CAPITOL 4 CAIB'!G11</f>
        <v>102.95</v>
      </c>
      <c r="H9" s="204">
        <f>'OBLIGACIONS CAPITOL 4 CAIB'!H11</f>
        <v>128.13999999999999</v>
      </c>
      <c r="I9" s="204">
        <f>'OBLIGACIONS CAPITOL 4 CAIB'!I11</f>
        <v>175.88</v>
      </c>
      <c r="J9" s="204">
        <f>'OBLIGACIONS CAPITOL 4 CAIB'!J11</f>
        <v>232.17</v>
      </c>
      <c r="K9" s="204">
        <f>'OBLIGACIONS CAPITOL 4 CAIB'!K11</f>
        <v>274.52</v>
      </c>
      <c r="L9" s="204">
        <f>'OBLIGACIONS CAPITOL 4 CAIB'!L11</f>
        <v>329.71</v>
      </c>
      <c r="M9" s="204">
        <f>'OBLIGACIONS CAPITOL 4 CAIB'!M11</f>
        <v>328.82</v>
      </c>
      <c r="N9" s="204">
        <f>'OBLIGACIONS CAPITOL 4 CAIB'!N11</f>
        <v>259.29000000000002</v>
      </c>
      <c r="O9" s="204">
        <f>'OBLIGACIONS CAPITOL 4 CAIB'!O11</f>
        <v>231.48</v>
      </c>
      <c r="P9" s="204">
        <f>'OBLIGACIONS CAPITOL 4 CAIB'!P11</f>
        <v>241.54</v>
      </c>
      <c r="Q9" s="204">
        <f>'OBLIGACIONS CAPITOL 4 CAIB'!Q11</f>
        <v>261.67</v>
      </c>
      <c r="R9" s="204">
        <f>'OBLIGACIONS CAPITOL 4 CAIB'!R11</f>
        <v>253.66</v>
      </c>
      <c r="S9" s="204">
        <f>'OBLIGACIONS CAPITOL 4 CAIB'!S11</f>
        <v>277.74</v>
      </c>
      <c r="T9" s="204">
        <f>'OBLIGACIONS CAPITOL 4 CAIB'!T11</f>
        <v>273.70999999999998</v>
      </c>
      <c r="U9" s="204">
        <f>'OBLIGACIONS CAPITOL 4 CAIB'!U11</f>
        <v>305.01</v>
      </c>
      <c r="V9" s="204">
        <f>'OBLIGACIONS CAPITOL 4 CAIB'!V11</f>
        <v>297.67</v>
      </c>
      <c r="W9" s="204">
        <f>'OBLIGACIONS CAPITOL 4 CAIB'!W11</f>
        <v>306.51</v>
      </c>
    </row>
    <row r="10" spans="1:23" ht="59.95" customHeight="1">
      <c r="A10" s="200" t="s">
        <v>174</v>
      </c>
      <c r="B10" s="204">
        <f>'OBLIGACIONS CAPITOL 7 CAIB'!B11</f>
        <v>53.51</v>
      </c>
      <c r="C10" s="204">
        <f>'OBLIGACIONS CAPITOL 7 CAIB'!C11</f>
        <v>70.12</v>
      </c>
      <c r="D10" s="204">
        <f>'OBLIGACIONS CAPITOL 7 CAIB'!D11</f>
        <v>59.43</v>
      </c>
      <c r="E10" s="204">
        <f>'OBLIGACIONS CAPITOL 7 CAIB'!E11</f>
        <v>91.4</v>
      </c>
      <c r="F10" s="204">
        <f>'OBLIGACIONS CAPITOL 7 CAIB'!F11</f>
        <v>105.74</v>
      </c>
      <c r="G10" s="204">
        <f>'OBLIGACIONS CAPITOL 7 CAIB'!G11</f>
        <v>85.5</v>
      </c>
      <c r="H10" s="204">
        <f>'OBLIGACIONS CAPITOL 7 CAIB'!H11</f>
        <v>88.54</v>
      </c>
      <c r="I10" s="204">
        <f>'OBLIGACIONS CAPITOL 7 CAIB'!I11</f>
        <v>119.47</v>
      </c>
      <c r="J10" s="204">
        <f>'OBLIGACIONS CAPITOL 7 CAIB'!J11</f>
        <v>167.33</v>
      </c>
      <c r="K10" s="204">
        <f>'OBLIGACIONS CAPITOL 7 CAIB'!K11</f>
        <v>193.27</v>
      </c>
      <c r="L10" s="204">
        <f>'OBLIGACIONS CAPITOL 7 CAIB'!L11</f>
        <v>257.14</v>
      </c>
      <c r="M10" s="204">
        <f>'OBLIGACIONS CAPITOL 7 CAIB'!M11</f>
        <v>252.17</v>
      </c>
      <c r="N10" s="204">
        <f>'OBLIGACIONS CAPITOL 7 CAIB'!N11</f>
        <v>100.48</v>
      </c>
      <c r="O10" s="204">
        <f>'OBLIGACIONS CAPITOL 7 CAIB'!O11</f>
        <v>138.81</v>
      </c>
      <c r="P10" s="204">
        <f>'OBLIGACIONS CAPITOL 7 CAIB'!P11</f>
        <v>120.76</v>
      </c>
      <c r="Q10" s="204">
        <f>'OBLIGACIONS CAPITOL 7 CAIB'!Q11</f>
        <v>156.85</v>
      </c>
      <c r="R10" s="204">
        <f>'OBLIGACIONS CAPITOL 7 CAIB'!R11</f>
        <v>197.06</v>
      </c>
      <c r="S10" s="204">
        <f>'OBLIGACIONS CAPITOL 7 CAIB'!S11</f>
        <v>329.43</v>
      </c>
      <c r="T10" s="204">
        <f>'OBLIGACIONS CAPITOL 7 CAIB'!T11</f>
        <v>254.24</v>
      </c>
      <c r="U10" s="204">
        <f>'OBLIGACIONS CAPITOL 7 CAIB'!U11</f>
        <v>249.56</v>
      </c>
      <c r="V10" s="204">
        <f>'OBLIGACIONS CAPITOL 7 CAIB'!V11</f>
        <v>239.67</v>
      </c>
      <c r="W10" s="204">
        <f>'OBLIGACIONS CAPITOL 7 CAIB'!W11</f>
        <v>276.64999999999998</v>
      </c>
    </row>
    <row r="11" spans="1:23" ht="9" customHeight="1" thickBot="1">
      <c r="A11" s="200"/>
      <c r="B11" s="204"/>
      <c r="C11" s="204"/>
      <c r="D11" s="204"/>
      <c r="E11" s="204"/>
      <c r="F11" s="204"/>
      <c r="G11" s="204"/>
      <c r="H11" s="204"/>
      <c r="I11" s="253"/>
      <c r="J11" s="253"/>
    </row>
    <row r="12" spans="1:23" ht="33.799999999999997" customHeight="1" thickTop="1" thickBot="1">
      <c r="A12" s="224" t="s">
        <v>172</v>
      </c>
      <c r="B12" s="210">
        <f t="shared" ref="B12:I12" si="0">SUM(B9:B10)</f>
        <v>107.41</v>
      </c>
      <c r="C12" s="210">
        <f t="shared" si="0"/>
        <v>132.48000000000002</v>
      </c>
      <c r="D12" s="210">
        <f t="shared" si="0"/>
        <v>135.61000000000001</v>
      </c>
      <c r="E12" s="210">
        <f t="shared" si="0"/>
        <v>174.04000000000002</v>
      </c>
      <c r="F12" s="210">
        <f t="shared" si="0"/>
        <v>195.72</v>
      </c>
      <c r="G12" s="210">
        <f t="shared" si="0"/>
        <v>188.45</v>
      </c>
      <c r="H12" s="210">
        <f t="shared" si="0"/>
        <v>216.68</v>
      </c>
      <c r="I12" s="210">
        <f t="shared" si="0"/>
        <v>295.35000000000002</v>
      </c>
      <c r="J12" s="210">
        <f t="shared" ref="J12:M12" si="1">SUM(J9:J10)</f>
        <v>399.5</v>
      </c>
      <c r="K12" s="210">
        <f t="shared" si="1"/>
        <v>467.78999999999996</v>
      </c>
      <c r="L12" s="210">
        <f t="shared" si="1"/>
        <v>586.84999999999991</v>
      </c>
      <c r="M12" s="210">
        <f t="shared" si="1"/>
        <v>580.99</v>
      </c>
      <c r="N12" s="210">
        <f t="shared" ref="N12" si="2">SUM(N9:N10)</f>
        <v>359.77000000000004</v>
      </c>
      <c r="O12" s="210">
        <f>SUM(O9:O10)</f>
        <v>370.28999999999996</v>
      </c>
      <c r="P12" s="210">
        <f>SUM(P9:P10)</f>
        <v>362.3</v>
      </c>
      <c r="Q12" s="210">
        <f>SUM(Q9:Q10)</f>
        <v>418.52</v>
      </c>
      <c r="R12" s="210">
        <f>SUM(R9:R10)</f>
        <v>450.72</v>
      </c>
      <c r="S12" s="210">
        <f t="shared" ref="S12:V12" si="3">SUM(S9:S10)</f>
        <v>607.17000000000007</v>
      </c>
      <c r="T12" s="210">
        <f t="shared" si="3"/>
        <v>527.95000000000005</v>
      </c>
      <c r="U12" s="210">
        <f t="shared" si="3"/>
        <v>554.56999999999994</v>
      </c>
      <c r="V12" s="210">
        <f t="shared" si="3"/>
        <v>537.34</v>
      </c>
      <c r="W12" s="210">
        <f t="shared" ref="W12" si="4">SUM(W9:W10)</f>
        <v>583.16</v>
      </c>
    </row>
    <row r="13" spans="1:23" ht="19.05" thickTop="1">
      <c r="B13" s="203"/>
      <c r="C13" s="203"/>
      <c r="D13" s="203"/>
      <c r="E13" s="203"/>
      <c r="F13" s="203"/>
      <c r="G13" s="203"/>
      <c r="H13" s="203"/>
      <c r="I13" s="203"/>
    </row>
    <row r="24" spans="2:6">
      <c r="B24">
        <v>2013</v>
      </c>
      <c r="D24">
        <v>3775.53</v>
      </c>
      <c r="E24">
        <v>3988.22</v>
      </c>
      <c r="F24">
        <f>E24/D24*100</f>
        <v>105.63338127362249</v>
      </c>
    </row>
    <row r="38" spans="16:16">
      <c r="P38" s="428"/>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FF0000"/>
    <pageSetUpPr fitToPage="1"/>
  </sheetPr>
  <dimension ref="A1:W67"/>
  <sheetViews>
    <sheetView showGridLines="0" topLeftCell="A32" zoomScaleNormal="100" zoomScalePageLayoutView="75" workbookViewId="0">
      <selection activeCell="E32" sqref="E32"/>
    </sheetView>
  </sheetViews>
  <sheetFormatPr baseColWidth="10" defaultRowHeight="15.65"/>
  <cols>
    <col min="1" max="1" width="16.375" style="7" customWidth="1"/>
    <col min="2" max="2" width="19.125" style="7" customWidth="1"/>
    <col min="3" max="5" width="27.75" style="88" customWidth="1"/>
    <col min="6" max="6" width="20.75" style="7" customWidth="1"/>
    <col min="7" max="7" width="30.75" style="7" customWidth="1"/>
    <col min="8" max="8" width="4.75" style="4" customWidth="1"/>
    <col min="9" max="14" width="10.875" style="4"/>
  </cols>
  <sheetData>
    <row r="1" spans="1:23" ht="18" customHeight="1">
      <c r="A1" s="1"/>
      <c r="B1" s="1"/>
      <c r="C1" s="76"/>
      <c r="D1" s="76"/>
      <c r="E1" s="76"/>
      <c r="F1" s="2"/>
      <c r="G1" s="3"/>
    </row>
    <row r="2" spans="1:23" ht="18" customHeight="1">
      <c r="A2" s="1"/>
      <c r="B2" s="1"/>
      <c r="C2" s="76"/>
      <c r="D2" s="76"/>
      <c r="E2" s="76"/>
      <c r="F2" s="2"/>
      <c r="G2" s="3"/>
    </row>
    <row r="3" spans="1:23" ht="18" customHeight="1">
      <c r="A3" s="1"/>
      <c r="B3" s="1"/>
      <c r="C3" s="76"/>
      <c r="D3" s="76"/>
      <c r="E3" s="76"/>
      <c r="F3" s="2"/>
      <c r="G3" s="3"/>
    </row>
    <row r="4" spans="1:23" ht="18" customHeight="1">
      <c r="A4" s="586" t="s">
        <v>231</v>
      </c>
      <c r="B4" s="586"/>
      <c r="C4" s="586"/>
      <c r="D4" s="586"/>
      <c r="E4" s="586"/>
      <c r="F4" s="586"/>
      <c r="G4" s="586"/>
      <c r="H4" s="555"/>
      <c r="I4" s="555"/>
      <c r="J4" s="555"/>
      <c r="K4" s="555"/>
      <c r="L4" s="555"/>
      <c r="M4" s="555"/>
      <c r="N4" s="555"/>
      <c r="O4" s="555"/>
      <c r="P4" s="555"/>
      <c r="Q4" s="555"/>
      <c r="R4" s="555"/>
      <c r="S4" s="555"/>
      <c r="T4" s="555"/>
      <c r="U4" s="555"/>
      <c r="V4" s="555"/>
      <c r="W4" s="555"/>
    </row>
    <row r="5" spans="1:23" ht="18" customHeight="1">
      <c r="A5" s="105"/>
      <c r="B5" s="105"/>
      <c r="C5" s="105"/>
      <c r="D5" s="105"/>
      <c r="E5" s="105"/>
      <c r="F5" s="105"/>
      <c r="G5" s="105"/>
    </row>
    <row r="6" spans="1:23" ht="18" customHeight="1">
      <c r="A6" s="23"/>
      <c r="B6" s="90"/>
      <c r="C6" s="91"/>
      <c r="D6" s="91"/>
      <c r="E6" s="91"/>
      <c r="F6" s="23"/>
      <c r="I6"/>
      <c r="J6"/>
      <c r="K6"/>
      <c r="L6"/>
      <c r="M6"/>
      <c r="N6"/>
    </row>
    <row r="7" spans="1:23" ht="18" customHeight="1">
      <c r="A7" s="9"/>
      <c r="B7" s="92"/>
      <c r="C7" s="91"/>
      <c r="D7" s="108" t="s">
        <v>131</v>
      </c>
      <c r="E7" s="87"/>
      <c r="F7" s="9"/>
      <c r="G7" s="10"/>
      <c r="I7"/>
      <c r="J7"/>
      <c r="K7"/>
      <c r="L7"/>
      <c r="M7"/>
      <c r="N7"/>
    </row>
    <row r="8" spans="1:23" ht="18" customHeight="1">
      <c r="A8" s="120" t="s">
        <v>199</v>
      </c>
      <c r="B8" s="93"/>
      <c r="C8" s="107" t="s">
        <v>127</v>
      </c>
      <c r="D8" s="107" t="s">
        <v>8</v>
      </c>
      <c r="E8" s="107" t="s">
        <v>130</v>
      </c>
      <c r="F8" s="12"/>
      <c r="G8" s="26"/>
      <c r="I8"/>
      <c r="J8"/>
      <c r="K8"/>
      <c r="L8"/>
      <c r="M8"/>
      <c r="N8"/>
    </row>
    <row r="9" spans="1:23" ht="9" customHeight="1" thickBot="1">
      <c r="A9" s="13"/>
      <c r="B9" s="81"/>
      <c r="C9" s="94"/>
      <c r="D9" s="94"/>
      <c r="E9" s="94"/>
      <c r="F9" s="27"/>
      <c r="G9" s="28"/>
      <c r="I9"/>
      <c r="J9"/>
      <c r="K9"/>
      <c r="L9"/>
      <c r="M9"/>
      <c r="N9"/>
    </row>
    <row r="10" spans="1:23" ht="9" customHeight="1" thickTop="1">
      <c r="A10" s="13"/>
      <c r="B10" s="95"/>
      <c r="C10" s="79"/>
      <c r="D10" s="79"/>
      <c r="E10" s="79"/>
      <c r="F10" s="27"/>
      <c r="I10"/>
      <c r="J10"/>
      <c r="K10"/>
      <c r="L10"/>
      <c r="M10"/>
      <c r="N10"/>
    </row>
    <row r="11" spans="1:23" ht="18" hidden="1" customHeight="1">
      <c r="B11" s="113">
        <v>1999</v>
      </c>
      <c r="C11" s="114">
        <v>974.94</v>
      </c>
      <c r="D11" s="114">
        <v>880.9</v>
      </c>
      <c r="E11" s="212">
        <f t="shared" ref="E11:E18" si="0">D11/C11</f>
        <v>0.90354278211992523</v>
      </c>
      <c r="F11" s="29"/>
      <c r="I11"/>
      <c r="J11"/>
      <c r="K11"/>
      <c r="L11"/>
      <c r="M11"/>
      <c r="N11"/>
    </row>
    <row r="12" spans="1:23" ht="18" hidden="1" customHeight="1">
      <c r="B12" s="113">
        <v>2000</v>
      </c>
      <c r="C12" s="114">
        <v>1042.82</v>
      </c>
      <c r="D12" s="114">
        <v>942.38</v>
      </c>
      <c r="E12" s="212">
        <f t="shared" si="0"/>
        <v>0.90368424080857679</v>
      </c>
      <c r="F12" s="31"/>
      <c r="I12"/>
      <c r="J12"/>
      <c r="K12"/>
      <c r="L12"/>
      <c r="M12"/>
      <c r="N12"/>
    </row>
    <row r="13" spans="1:23" ht="18" hidden="1" customHeight="1">
      <c r="B13" s="113">
        <v>2001</v>
      </c>
      <c r="C13" s="114">
        <v>1095.08</v>
      </c>
      <c r="D13" s="114">
        <v>1013.3</v>
      </c>
      <c r="E13" s="212">
        <f t="shared" si="0"/>
        <v>0.92532052452788838</v>
      </c>
      <c r="F13" s="29"/>
      <c r="I13"/>
      <c r="J13"/>
      <c r="K13"/>
      <c r="L13"/>
      <c r="M13"/>
      <c r="N13"/>
    </row>
    <row r="14" spans="1:23" ht="18" hidden="1" customHeight="1">
      <c r="B14" s="113">
        <v>2002</v>
      </c>
      <c r="C14" s="114">
        <f>1673824393.98/1000000</f>
        <v>1673.82439398</v>
      </c>
      <c r="D14" s="114">
        <v>1992.3</v>
      </c>
      <c r="E14" s="212">
        <f t="shared" si="0"/>
        <v>1.1902682307447632</v>
      </c>
      <c r="F14" s="31"/>
      <c r="I14"/>
      <c r="J14"/>
      <c r="K14"/>
      <c r="L14"/>
      <c r="M14"/>
      <c r="N14"/>
    </row>
    <row r="15" spans="1:23" ht="18" hidden="1" customHeight="1">
      <c r="B15" s="113">
        <v>2003</v>
      </c>
      <c r="C15" s="114">
        <v>2213.0500000000002</v>
      </c>
      <c r="D15" s="114">
        <v>2135.09</v>
      </c>
      <c r="E15" s="212">
        <f t="shared" si="0"/>
        <v>0.96477259890196787</v>
      </c>
      <c r="F15" s="31"/>
      <c r="I15"/>
      <c r="J15"/>
      <c r="K15"/>
      <c r="L15"/>
      <c r="M15"/>
      <c r="N15"/>
    </row>
    <row r="16" spans="1:23" ht="18" hidden="1" customHeight="1">
      <c r="B16" s="164">
        <v>2004</v>
      </c>
      <c r="C16" s="211">
        <v>2391.91</v>
      </c>
      <c r="D16" s="114">
        <v>2314.91</v>
      </c>
      <c r="E16" s="212">
        <f t="shared" si="0"/>
        <v>0.96780815331680536</v>
      </c>
      <c r="F16" s="31"/>
      <c r="I16"/>
      <c r="J16"/>
      <c r="K16"/>
      <c r="L16"/>
      <c r="M16"/>
      <c r="N16"/>
    </row>
    <row r="17" spans="1:23" ht="18" hidden="1" customHeight="1">
      <c r="B17" s="236">
        <v>2005</v>
      </c>
      <c r="C17" s="114">
        <v>3076.35</v>
      </c>
      <c r="D17" s="114">
        <v>2950.94</v>
      </c>
      <c r="E17" s="212">
        <f t="shared" si="0"/>
        <v>0.95923415736180873</v>
      </c>
      <c r="F17" s="31"/>
      <c r="I17"/>
      <c r="J17"/>
      <c r="K17"/>
      <c r="L17"/>
      <c r="M17"/>
      <c r="N17"/>
    </row>
    <row r="18" spans="1:23" ht="18" hidden="1" customHeight="1">
      <c r="B18" s="236">
        <v>2006</v>
      </c>
      <c r="C18" s="114">
        <v>3037.3</v>
      </c>
      <c r="D18" s="114">
        <v>2957.26</v>
      </c>
      <c r="E18" s="212">
        <f t="shared" si="0"/>
        <v>0.97364764758173383</v>
      </c>
      <c r="F18" s="31"/>
      <c r="I18"/>
      <c r="J18"/>
      <c r="K18"/>
      <c r="L18"/>
      <c r="M18"/>
      <c r="N18"/>
    </row>
    <row r="19" spans="1:23" ht="18" hidden="1" customHeight="1">
      <c r="B19" s="236">
        <v>2007</v>
      </c>
      <c r="C19" s="114">
        <v>3409.57</v>
      </c>
      <c r="D19" s="114">
        <v>3307.02</v>
      </c>
      <c r="E19" s="212">
        <f t="shared" ref="E19:E22" si="1">D19/C19</f>
        <v>0.96992289350269967</v>
      </c>
      <c r="F19" s="31"/>
      <c r="I19"/>
      <c r="J19"/>
      <c r="K19"/>
      <c r="L19"/>
      <c r="M19"/>
      <c r="N19"/>
    </row>
    <row r="20" spans="1:23" s="238" customFormat="1" ht="18" hidden="1" customHeight="1">
      <c r="A20" s="163"/>
      <c r="B20" s="163">
        <v>2008</v>
      </c>
      <c r="C20" s="545">
        <v>3754.85</v>
      </c>
      <c r="D20" s="545">
        <v>3635.71</v>
      </c>
      <c r="E20" s="546">
        <f t="shared" si="1"/>
        <v>0.96827037032105145</v>
      </c>
      <c r="F20" s="547"/>
      <c r="G20" s="548"/>
      <c r="H20" s="549"/>
      <c r="I20" s="548"/>
      <c r="J20" s="548"/>
      <c r="K20" s="548"/>
      <c r="L20" s="548"/>
      <c r="M20" s="548"/>
      <c r="N20" s="548"/>
      <c r="O20" s="548"/>
      <c r="P20" s="548"/>
      <c r="Q20" s="548"/>
      <c r="R20" s="548"/>
      <c r="S20" s="548"/>
      <c r="T20" s="548"/>
      <c r="U20" s="548"/>
      <c r="V20" s="548"/>
      <c r="W20" s="548"/>
    </row>
    <row r="21" spans="1:23" s="238" customFormat="1" ht="18" hidden="1" customHeight="1">
      <c r="A21" s="164"/>
      <c r="B21" s="236">
        <v>2009</v>
      </c>
      <c r="C21" s="114">
        <v>4136.9399999999996</v>
      </c>
      <c r="D21" s="114">
        <v>3964.56</v>
      </c>
      <c r="E21" s="212">
        <f t="shared" si="1"/>
        <v>0.95833152039913572</v>
      </c>
      <c r="F21" s="237"/>
    </row>
    <row r="22" spans="1:23" s="238" customFormat="1" ht="18" hidden="1" customHeight="1">
      <c r="A22" s="164"/>
      <c r="B22" s="236">
        <v>2010</v>
      </c>
      <c r="C22" s="114">
        <v>4125.21</v>
      </c>
      <c r="D22" s="114">
        <v>3865.51</v>
      </c>
      <c r="E22" s="212">
        <f t="shared" si="1"/>
        <v>0.9370456291922109</v>
      </c>
      <c r="F22" s="237"/>
    </row>
    <row r="23" spans="1:23" s="238" customFormat="1" ht="18" customHeight="1">
      <c r="A23" s="164"/>
      <c r="B23" s="236">
        <v>2012</v>
      </c>
      <c r="C23" s="114">
        <v>5976.76</v>
      </c>
      <c r="D23" s="114">
        <v>5628.32</v>
      </c>
      <c r="E23" s="212">
        <f>D23/C23</f>
        <v>0.94170085464365305</v>
      </c>
      <c r="F23" s="237"/>
    </row>
    <row r="24" spans="1:23" ht="18.350000000000001">
      <c r="A24" s="15"/>
      <c r="B24" s="236">
        <v>2013</v>
      </c>
      <c r="C24" s="114">
        <v>3755.53</v>
      </c>
      <c r="D24" s="114">
        <v>3579.92</v>
      </c>
      <c r="E24" s="212">
        <f>D24/C24</f>
        <v>0.95323962263648532</v>
      </c>
      <c r="F24" s="31"/>
      <c r="G24" s="121"/>
      <c r="H24" s="238"/>
      <c r="I24"/>
      <c r="J24"/>
      <c r="K24"/>
      <c r="L24"/>
      <c r="M24"/>
      <c r="N24"/>
    </row>
    <row r="25" spans="1:23" ht="18" customHeight="1">
      <c r="B25" s="236">
        <v>2014</v>
      </c>
      <c r="C25" s="114">
        <v>4368.97</v>
      </c>
      <c r="D25" s="114">
        <v>4186.4799999999996</v>
      </c>
      <c r="E25" s="212">
        <f>D25/C25</f>
        <v>0.95823042959782267</v>
      </c>
      <c r="F25" s="31"/>
      <c r="G25" s="121"/>
      <c r="I25"/>
      <c r="J25"/>
      <c r="K25"/>
      <c r="L25"/>
      <c r="M25"/>
      <c r="N25"/>
    </row>
    <row r="26" spans="1:23" ht="18" customHeight="1">
      <c r="B26" s="164">
        <v>2015</v>
      </c>
      <c r="C26" s="114">
        <v>4247.3599999999997</v>
      </c>
      <c r="D26" s="114">
        <v>3998.36</v>
      </c>
      <c r="E26" s="455">
        <f>D26/C26</f>
        <v>0.9413753484517442</v>
      </c>
      <c r="F26" s="31"/>
      <c r="G26" s="121"/>
      <c r="I26"/>
      <c r="J26"/>
      <c r="K26"/>
      <c r="L26"/>
      <c r="M26"/>
      <c r="N26"/>
    </row>
    <row r="27" spans="1:23" ht="18" customHeight="1">
      <c r="B27" s="164">
        <v>2016</v>
      </c>
      <c r="C27" s="114">
        <v>4425.54</v>
      </c>
      <c r="D27" s="114">
        <v>4307.2700000000004</v>
      </c>
      <c r="E27" s="455">
        <f t="shared" ref="E27:E28" si="2">D27/C27</f>
        <v>0.97327557766961781</v>
      </c>
      <c r="F27" s="31"/>
      <c r="G27" s="121"/>
      <c r="I27"/>
      <c r="J27"/>
      <c r="K27"/>
      <c r="L27"/>
      <c r="M27"/>
      <c r="N27"/>
    </row>
    <row r="28" spans="1:23" ht="18" customHeight="1">
      <c r="B28" s="164">
        <v>2017</v>
      </c>
      <c r="C28" s="114">
        <v>4869.53</v>
      </c>
      <c r="D28" s="114">
        <v>4697.95</v>
      </c>
      <c r="E28" s="455">
        <f t="shared" si="2"/>
        <v>0.9647645666008835</v>
      </c>
      <c r="F28" s="31"/>
      <c r="G28" s="121"/>
      <c r="I28"/>
      <c r="J28"/>
      <c r="K28"/>
      <c r="L28"/>
      <c r="M28"/>
      <c r="N28"/>
    </row>
    <row r="29" spans="1:23" ht="18" customHeight="1">
      <c r="B29" s="164">
        <v>2018</v>
      </c>
      <c r="C29" s="114">
        <v>5258.64</v>
      </c>
      <c r="D29" s="114">
        <v>5021.42</v>
      </c>
      <c r="E29" s="455">
        <f t="shared" ref="E29:E31" si="3">D29/C29</f>
        <v>0.95488947712716588</v>
      </c>
      <c r="F29" s="31"/>
      <c r="G29" s="121"/>
      <c r="I29"/>
      <c r="J29"/>
      <c r="K29"/>
      <c r="L29"/>
      <c r="M29"/>
      <c r="N29"/>
    </row>
    <row r="30" spans="1:23" ht="18" customHeight="1">
      <c r="B30" s="164">
        <v>2019</v>
      </c>
      <c r="C30" s="114">
        <v>5642.09</v>
      </c>
      <c r="D30" s="114">
        <v>5429.68</v>
      </c>
      <c r="E30" s="455">
        <f t="shared" ref="E30" si="4">D30/C30</f>
        <v>0.96235260337924422</v>
      </c>
      <c r="F30" s="31"/>
      <c r="G30" s="121"/>
      <c r="I30"/>
      <c r="J30"/>
      <c r="K30"/>
      <c r="L30"/>
      <c r="M30"/>
      <c r="N30"/>
    </row>
    <row r="31" spans="1:23" ht="18" customHeight="1">
      <c r="B31" s="164">
        <v>2020</v>
      </c>
      <c r="C31" s="114">
        <v>6472.01</v>
      </c>
      <c r="D31" s="114">
        <v>6146.11</v>
      </c>
      <c r="E31" s="455">
        <f t="shared" si="3"/>
        <v>0.94964470079619767</v>
      </c>
      <c r="F31" s="31"/>
      <c r="G31" s="121"/>
      <c r="I31"/>
      <c r="J31"/>
      <c r="K31"/>
      <c r="L31"/>
      <c r="M31"/>
      <c r="N31"/>
    </row>
    <row r="32" spans="1:23" ht="18" customHeight="1">
      <c r="B32" s="164">
        <v>2021</v>
      </c>
      <c r="C32" s="114">
        <v>7027.41</v>
      </c>
      <c r="D32" s="114">
        <v>6706</v>
      </c>
      <c r="E32" s="455">
        <f t="shared" ref="E32" si="5">D32/C32</f>
        <v>0.95426337726132393</v>
      </c>
      <c r="F32" s="31"/>
      <c r="G32" s="121"/>
      <c r="I32"/>
      <c r="J32"/>
      <c r="K32"/>
      <c r="L32"/>
      <c r="M32"/>
      <c r="N32"/>
    </row>
    <row r="33" spans="1:17" ht="18" customHeight="1">
      <c r="F33" s="31"/>
      <c r="G33" s="96"/>
      <c r="I33"/>
      <c r="J33"/>
      <c r="K33"/>
      <c r="L33"/>
      <c r="M33"/>
      <c r="N33"/>
    </row>
    <row r="34" spans="1:17" ht="18" customHeight="1">
      <c r="F34" s="31"/>
      <c r="I34"/>
      <c r="J34"/>
      <c r="K34"/>
      <c r="L34"/>
      <c r="M34"/>
      <c r="N34"/>
    </row>
    <row r="35" spans="1:17" ht="18" customHeight="1">
      <c r="F35" s="31"/>
      <c r="G35" s="587" t="s">
        <v>200</v>
      </c>
      <c r="I35"/>
      <c r="J35"/>
      <c r="K35"/>
      <c r="L35"/>
      <c r="M35"/>
      <c r="N35"/>
    </row>
    <row r="36" spans="1:17" ht="18" customHeight="1">
      <c r="F36" s="31"/>
      <c r="G36" s="588"/>
      <c r="I36"/>
      <c r="J36"/>
      <c r="K36"/>
      <c r="L36"/>
      <c r="M36"/>
      <c r="N36"/>
    </row>
    <row r="37" spans="1:17" ht="18" customHeight="1">
      <c r="F37" s="31"/>
      <c r="G37" s="588"/>
      <c r="I37"/>
      <c r="J37"/>
      <c r="K37"/>
      <c r="L37"/>
      <c r="M37"/>
      <c r="N37"/>
    </row>
    <row r="38" spans="1:17" ht="18" customHeight="1">
      <c r="F38" s="31"/>
      <c r="G38" s="588"/>
      <c r="I38"/>
      <c r="J38"/>
      <c r="K38"/>
      <c r="L38"/>
      <c r="M38"/>
      <c r="N38"/>
    </row>
    <row r="39" spans="1:17" ht="18" customHeight="1">
      <c r="F39" s="28"/>
      <c r="G39" s="588"/>
      <c r="I39"/>
      <c r="J39"/>
      <c r="K39"/>
      <c r="L39"/>
      <c r="M39"/>
      <c r="N39"/>
    </row>
    <row r="40" spans="1:17" ht="18" customHeight="1">
      <c r="F40" s="32"/>
      <c r="G40" s="588"/>
      <c r="I40"/>
      <c r="J40"/>
      <c r="K40"/>
      <c r="L40"/>
      <c r="M40"/>
      <c r="N40"/>
    </row>
    <row r="41" spans="1:17" ht="18" customHeight="1">
      <c r="G41" s="589"/>
    </row>
    <row r="42" spans="1:17" ht="18" customHeight="1">
      <c r="G42" s="507"/>
    </row>
    <row r="43" spans="1:17" ht="18" customHeight="1">
      <c r="G43" s="507"/>
    </row>
    <row r="44" spans="1:17" ht="18" customHeight="1">
      <c r="G44" s="507"/>
    </row>
    <row r="45" spans="1:17" ht="18" customHeight="1">
      <c r="G45" s="544"/>
    </row>
    <row r="46" spans="1:17" ht="18" customHeight="1">
      <c r="G46" s="507"/>
    </row>
    <row r="47" spans="1:17" ht="18" customHeight="1">
      <c r="A47" s="491" t="s">
        <v>197</v>
      </c>
      <c r="G47" s="507"/>
    </row>
    <row r="48" spans="1:17" s="67" customFormat="1" ht="18" customHeight="1">
      <c r="A48" s="541" t="s">
        <v>228</v>
      </c>
      <c r="B48" s="491"/>
      <c r="C48" s="491"/>
      <c r="D48" s="491"/>
      <c r="E48" s="491"/>
      <c r="F48" s="491"/>
      <c r="G48" s="491"/>
      <c r="H48" s="491"/>
      <c r="I48" s="491"/>
      <c r="J48" s="491"/>
      <c r="K48" s="491"/>
      <c r="L48" s="491"/>
      <c r="M48" s="491"/>
      <c r="N48" s="491"/>
      <c r="O48" s="491"/>
      <c r="P48" s="491"/>
      <c r="Q48" s="491"/>
    </row>
    <row r="49" spans="1:17" s="67" customFormat="1" ht="18" customHeight="1">
      <c r="A49" s="67" t="s">
        <v>229</v>
      </c>
      <c r="B49" s="491"/>
      <c r="C49" s="491"/>
      <c r="D49" s="491"/>
      <c r="E49" s="491"/>
      <c r="F49" s="491"/>
      <c r="G49" s="491"/>
      <c r="H49" s="491"/>
      <c r="I49" s="491"/>
      <c r="J49" s="491"/>
      <c r="K49" s="491"/>
      <c r="L49" s="491"/>
      <c r="M49" s="491"/>
      <c r="N49" s="491"/>
      <c r="O49" s="491"/>
      <c r="P49" s="491"/>
      <c r="Q49" s="491"/>
    </row>
    <row r="50" spans="1:17" s="67" customFormat="1" ht="18" customHeight="1">
      <c r="A50" s="543"/>
      <c r="B50" s="543"/>
      <c r="C50" s="543"/>
      <c r="D50" s="543"/>
      <c r="E50" s="543"/>
      <c r="F50" s="543"/>
      <c r="G50" s="543"/>
      <c r="H50" s="491"/>
      <c r="I50" s="491"/>
      <c r="J50" s="491"/>
      <c r="K50" s="491"/>
      <c r="L50" s="491"/>
      <c r="M50" s="491"/>
      <c r="N50" s="491"/>
      <c r="O50" s="491"/>
      <c r="P50" s="491"/>
      <c r="Q50" s="491"/>
    </row>
    <row r="51" spans="1:17" ht="18" customHeight="1"/>
    <row r="52" spans="1:17" ht="18" customHeight="1"/>
    <row r="53" spans="1:17" ht="18" customHeight="1"/>
    <row r="54" spans="1:17" ht="18" customHeight="1"/>
    <row r="55" spans="1:17" ht="18" customHeight="1"/>
    <row r="56" spans="1:17" ht="18" customHeight="1"/>
    <row r="57" spans="1:17" ht="18" customHeight="1"/>
    <row r="58" spans="1:17" ht="18" customHeight="1"/>
    <row r="59" spans="1:17" ht="18" customHeight="1"/>
    <row r="60" spans="1:17" ht="18" customHeight="1"/>
    <row r="61" spans="1:17" ht="18" customHeight="1"/>
    <row r="62" spans="1:17" ht="18" customHeight="1"/>
    <row r="63" spans="1:17" ht="18" customHeight="1"/>
    <row r="64" spans="1:17" ht="18" customHeight="1"/>
    <row r="65" ht="18" customHeight="1"/>
    <row r="66" ht="18" customHeight="1"/>
    <row r="67" ht="18" customHeight="1"/>
  </sheetData>
  <mergeCells count="2">
    <mergeCell ref="G35:G41"/>
    <mergeCell ref="A4:G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9">
    <tabColor rgb="FF00B050"/>
  </sheetPr>
  <dimension ref="A1:W35"/>
  <sheetViews>
    <sheetView view="pageBreakPreview" zoomScale="60" zoomScaleNormal="100" workbookViewId="0">
      <selection activeCell="N11" sqref="N11"/>
    </sheetView>
  </sheetViews>
  <sheetFormatPr baseColWidth="10" defaultRowHeight="12.9"/>
  <cols>
    <col min="1" max="1" width="36.25" customWidth="1"/>
    <col min="2" max="4" width="13.375" hidden="1" customWidth="1"/>
    <col min="5" max="7" width="12.75" hidden="1" customWidth="1"/>
    <col min="8" max="13" width="12.25" hidden="1" customWidth="1"/>
    <col min="14" max="23" width="12.75" customWidth="1"/>
  </cols>
  <sheetData>
    <row r="1" spans="1:23" ht="18" customHeight="1"/>
    <row r="2" spans="1:23" ht="18" customHeight="1"/>
    <row r="3" spans="1:23" ht="18" customHeight="1"/>
    <row r="4" spans="1:23" ht="20.399999999999999">
      <c r="A4" s="592" t="s">
        <v>246</v>
      </c>
      <c r="B4" s="592"/>
      <c r="C4" s="592"/>
      <c r="D4" s="592"/>
      <c r="E4" s="592"/>
      <c r="F4" s="592"/>
      <c r="G4" s="592"/>
      <c r="H4" s="592"/>
      <c r="I4" s="592"/>
      <c r="J4" s="592"/>
      <c r="K4" s="592"/>
      <c r="L4" s="592"/>
      <c r="M4" s="592"/>
      <c r="N4" s="592"/>
      <c r="O4" s="592"/>
      <c r="P4" s="592"/>
      <c r="Q4" s="592"/>
      <c r="R4" s="592"/>
      <c r="S4" s="592"/>
      <c r="T4" s="592"/>
      <c r="U4" s="592"/>
      <c r="V4" s="592"/>
      <c r="W4" s="592"/>
    </row>
    <row r="5" spans="1:23" ht="18" customHeight="1"/>
    <row r="6" spans="1:23" ht="18" customHeight="1">
      <c r="G6" s="73"/>
      <c r="H6" s="73"/>
      <c r="I6" s="73"/>
    </row>
    <row r="7" spans="1:23" ht="18.350000000000001">
      <c r="A7" s="197" t="s">
        <v>199</v>
      </c>
      <c r="B7" s="80">
        <v>1999</v>
      </c>
      <c r="C7" s="80">
        <v>2000</v>
      </c>
      <c r="D7" s="80">
        <v>2001</v>
      </c>
      <c r="E7" s="80">
        <v>2002</v>
      </c>
      <c r="F7" s="80">
        <v>2003</v>
      </c>
      <c r="G7" s="80">
        <v>2004</v>
      </c>
      <c r="H7" s="80">
        <v>2005</v>
      </c>
      <c r="I7" s="80">
        <v>2006</v>
      </c>
      <c r="J7" s="80">
        <v>2007</v>
      </c>
      <c r="K7" s="151">
        <v>2008</v>
      </c>
      <c r="L7" s="151">
        <v>2009</v>
      </c>
      <c r="M7" s="151">
        <v>2010</v>
      </c>
      <c r="N7" s="151">
        <v>2012</v>
      </c>
      <c r="O7" s="151">
        <v>2013</v>
      </c>
      <c r="P7" s="151">
        <v>2014</v>
      </c>
      <c r="Q7" s="151">
        <v>2015</v>
      </c>
      <c r="R7" s="151">
        <v>2016</v>
      </c>
      <c r="S7" s="151">
        <v>2017</v>
      </c>
      <c r="T7" s="151">
        <v>2018</v>
      </c>
      <c r="U7" s="151">
        <v>2019</v>
      </c>
      <c r="V7" s="151">
        <v>2020</v>
      </c>
      <c r="W7" s="151">
        <v>2021</v>
      </c>
    </row>
    <row r="8" spans="1:23" ht="9" customHeight="1" thickBot="1">
      <c r="A8" s="157"/>
      <c r="B8" s="86"/>
      <c r="C8" s="86"/>
      <c r="D8" s="86"/>
      <c r="E8" s="86"/>
      <c r="F8" s="86"/>
      <c r="G8" s="86"/>
      <c r="H8" s="86"/>
      <c r="I8" s="86"/>
      <c r="J8" s="86"/>
      <c r="K8" s="157"/>
      <c r="L8" s="157"/>
      <c r="M8" s="157"/>
      <c r="N8" s="157"/>
      <c r="O8" s="157"/>
      <c r="P8" s="157"/>
      <c r="Q8" s="157"/>
      <c r="R8" s="157"/>
      <c r="S8" s="157"/>
      <c r="T8" s="157"/>
      <c r="U8" s="157"/>
      <c r="V8" s="157"/>
      <c r="W8" s="157"/>
    </row>
    <row r="9" spans="1:23" ht="9" customHeight="1" thickTop="1">
      <c r="A9" s="67"/>
      <c r="B9" s="111"/>
      <c r="C9" s="111"/>
      <c r="D9" s="111"/>
      <c r="E9" s="111"/>
      <c r="F9" s="111"/>
      <c r="G9" s="111"/>
      <c r="H9" s="111"/>
      <c r="I9" s="90"/>
      <c r="J9" s="90"/>
    </row>
    <row r="10" spans="1:23" s="4" customFormat="1" ht="39.1" customHeight="1">
      <c r="A10" s="200" t="s">
        <v>157</v>
      </c>
      <c r="B10" s="201">
        <f>'OBLIGAGIONS RECON. CAIB '!B14</f>
        <v>139.66</v>
      </c>
      <c r="C10" s="201">
        <f>'OBLIGAGIONS RECON. CAIB '!C14</f>
        <v>133.41999999999999</v>
      </c>
      <c r="D10" s="201">
        <f>'OBLIGAGIONS RECON. CAIB '!D14</f>
        <v>144.22999999999999</v>
      </c>
      <c r="E10" s="201">
        <f>'OBLIGAGIONS RECON. CAIB '!E14</f>
        <v>184.18</v>
      </c>
      <c r="F10" s="201">
        <f>'OBLIGAGIONS RECON. CAIB '!F14</f>
        <v>160.66999999999999</v>
      </c>
      <c r="G10" s="201">
        <f>'OBLIGAGIONS RECON. CAIB '!G14</f>
        <v>249.35</v>
      </c>
      <c r="H10" s="201">
        <f>'OBLIGAGIONS RECON. CAIB '!H14</f>
        <v>312.64999999999998</v>
      </c>
      <c r="I10" s="201">
        <f>'OBLIGAGIONS RECON. CAIB '!I14</f>
        <v>207.38</v>
      </c>
      <c r="J10" s="201">
        <f>'OBLIGAGIONS RECON. CAIB '!J14</f>
        <v>225.1</v>
      </c>
      <c r="K10" s="201">
        <f>'OBLIGAGIONS RECON. CAIB '!K14</f>
        <v>222.06</v>
      </c>
      <c r="L10" s="201">
        <f>'OBLIGAGIONS RECON. CAIB '!L14</f>
        <v>201.2</v>
      </c>
      <c r="M10" s="201">
        <f>'OBLIGAGIONS RECON. CAIB '!M14</f>
        <v>149.72</v>
      </c>
      <c r="N10" s="201">
        <f>'OBLIGAGIONS RECON. CAIB '!N14</f>
        <v>103.01</v>
      </c>
      <c r="O10" s="201">
        <f>'OBLIGAGIONS RECON. CAIB '!O14</f>
        <v>119.23</v>
      </c>
      <c r="P10" s="201">
        <f>'OBLIGAGIONS RECON. CAIB '!P14</f>
        <v>109.12</v>
      </c>
      <c r="Q10" s="201">
        <f>'OBLIGAGIONS RECON. CAIB '!Q14</f>
        <v>113.57</v>
      </c>
      <c r="R10" s="201">
        <f>'OBLIGAGIONS RECON. CAIB '!R14</f>
        <v>122.05</v>
      </c>
      <c r="S10" s="201">
        <f>'OBLIGAGIONS RECON. CAIB '!S14</f>
        <v>115.57</v>
      </c>
      <c r="T10" s="201">
        <f>'OBLIGAGIONS RECON. CAIB '!T14</f>
        <v>250.83</v>
      </c>
      <c r="U10" s="201">
        <f>'OBLIGAGIONS RECON. CAIB '!U14</f>
        <v>199.72</v>
      </c>
      <c r="V10" s="201">
        <f>'OBLIGAGIONS RECON. CAIB '!V14</f>
        <v>153.33000000000001</v>
      </c>
      <c r="W10" s="201">
        <f>'OBLIGAGIONS RECON. CAIB '!W14</f>
        <v>131.32</v>
      </c>
    </row>
    <row r="11" spans="1:23" ht="39.1" customHeight="1">
      <c r="A11" s="200" t="s">
        <v>168</v>
      </c>
      <c r="B11" s="201">
        <f>'OBLIGAGIONS RECON. CAIB '!B15</f>
        <v>140.66999999999999</v>
      </c>
      <c r="C11" s="201">
        <f>'OBLIGAGIONS RECON. CAIB '!C15</f>
        <v>158.99</v>
      </c>
      <c r="D11" s="201">
        <f>'OBLIGAGIONS RECON. CAIB '!D15</f>
        <v>156</v>
      </c>
      <c r="E11" s="201">
        <f>'OBLIGAGIONS RECON. CAIB '!E15</f>
        <v>264.56</v>
      </c>
      <c r="F11" s="201">
        <f>'OBLIGAGIONS RECON. CAIB '!F15</f>
        <v>268.85000000000002</v>
      </c>
      <c r="G11" s="201">
        <f>'OBLIGAGIONS RECON. CAIB '!G15</f>
        <v>280.33</v>
      </c>
      <c r="H11" s="201">
        <f>'OBLIGAGIONS RECON. CAIB '!H15</f>
        <v>268.79000000000002</v>
      </c>
      <c r="I11" s="201">
        <f>'OBLIGAGIONS RECON. CAIB '!I15</f>
        <v>327.37</v>
      </c>
      <c r="J11" s="201">
        <f>'OBLIGAGIONS RECON. CAIB '!J15</f>
        <v>372.59</v>
      </c>
      <c r="K11" s="201">
        <f>'OBLIGAGIONS RECON. CAIB '!K15</f>
        <v>460.62</v>
      </c>
      <c r="L11" s="201">
        <f>'OBLIGAGIONS RECON. CAIB '!L15</f>
        <v>579.49</v>
      </c>
      <c r="M11" s="201">
        <f>'OBLIGAGIONS RECON. CAIB '!M15</f>
        <v>532.37</v>
      </c>
      <c r="N11" s="201">
        <f>'OBLIGAGIONS RECON. CAIB '!N15</f>
        <v>287.83398783999996</v>
      </c>
      <c r="O11" s="201">
        <f>'OBLIGAGIONS RECON. CAIB '!O15</f>
        <v>302.73</v>
      </c>
      <c r="P11" s="201">
        <f>'OBLIGAGIONS RECON. CAIB '!P15</f>
        <v>297.74</v>
      </c>
      <c r="Q11" s="201">
        <f>'OBLIGAGIONS RECON. CAIB '!Q15</f>
        <v>326.99</v>
      </c>
      <c r="R11" s="201">
        <f>'OBLIGAGIONS RECON. CAIB '!R15</f>
        <v>328.35</v>
      </c>
      <c r="S11" s="201">
        <f>'OBLIGAGIONS RECON. CAIB '!S15</f>
        <v>465.98</v>
      </c>
      <c r="T11" s="201">
        <f>'OBLIGAGIONS RECON. CAIB '!T15</f>
        <v>412.87</v>
      </c>
      <c r="U11" s="201">
        <f>'OBLIGAGIONS RECON. CAIB '!U15</f>
        <v>425.1</v>
      </c>
      <c r="V11" s="201">
        <f>'OBLIGAGIONS RECON. CAIB '!V15</f>
        <v>420.74</v>
      </c>
      <c r="W11" s="201">
        <f>'OBLIGAGIONS RECON. CAIB '!W15</f>
        <v>453.67</v>
      </c>
    </row>
    <row r="12" spans="1:23" ht="9" customHeight="1" thickBot="1">
      <c r="A12" s="200"/>
      <c r="B12" s="201"/>
      <c r="C12" s="201"/>
      <c r="D12" s="201"/>
      <c r="E12" s="201"/>
      <c r="F12" s="201"/>
      <c r="G12" s="201"/>
      <c r="H12" s="201"/>
      <c r="I12" s="253"/>
      <c r="J12" s="253"/>
    </row>
    <row r="13" spans="1:23" s="90" customFormat="1" ht="30.1" customHeight="1" thickTop="1" thickBot="1">
      <c r="A13" s="224" t="s">
        <v>172</v>
      </c>
      <c r="B13" s="210">
        <f t="shared" ref="B13:M13" si="0">SUM(B10:B12)</f>
        <v>280.33</v>
      </c>
      <c r="C13" s="210">
        <f t="shared" si="0"/>
        <v>292.40999999999997</v>
      </c>
      <c r="D13" s="210">
        <f t="shared" si="0"/>
        <v>300.23</v>
      </c>
      <c r="E13" s="210">
        <f t="shared" si="0"/>
        <v>448.74</v>
      </c>
      <c r="F13" s="210">
        <f t="shared" si="0"/>
        <v>429.52</v>
      </c>
      <c r="G13" s="210">
        <f t="shared" si="0"/>
        <v>529.67999999999995</v>
      </c>
      <c r="H13" s="210">
        <f t="shared" si="0"/>
        <v>581.44000000000005</v>
      </c>
      <c r="I13" s="210">
        <f t="shared" si="0"/>
        <v>534.75</v>
      </c>
      <c r="J13" s="210">
        <f t="shared" si="0"/>
        <v>597.68999999999994</v>
      </c>
      <c r="K13" s="210">
        <f t="shared" si="0"/>
        <v>682.68000000000006</v>
      </c>
      <c r="L13" s="210">
        <f t="shared" si="0"/>
        <v>780.69</v>
      </c>
      <c r="M13" s="210">
        <f t="shared" si="0"/>
        <v>682.09</v>
      </c>
      <c r="N13" s="210">
        <f t="shared" ref="N13" si="1">SUM(N10:N12)</f>
        <v>390.84398783999995</v>
      </c>
      <c r="O13" s="210">
        <f>SUM(O10:O12)</f>
        <v>421.96000000000004</v>
      </c>
      <c r="P13" s="210">
        <f>SUM(P10:P12)</f>
        <v>406.86</v>
      </c>
      <c r="Q13" s="210">
        <f>SUM(Q10:Q12)</f>
        <v>440.56</v>
      </c>
      <c r="R13" s="210">
        <f>SUM(R10:R12)</f>
        <v>450.40000000000003</v>
      </c>
      <c r="S13" s="210">
        <f t="shared" ref="S13:V13" si="2">SUM(S10:S12)</f>
        <v>581.54999999999995</v>
      </c>
      <c r="T13" s="210">
        <f t="shared" si="2"/>
        <v>663.7</v>
      </c>
      <c r="U13" s="210">
        <f t="shared" si="2"/>
        <v>624.82000000000005</v>
      </c>
      <c r="V13" s="210">
        <f t="shared" si="2"/>
        <v>574.07000000000005</v>
      </c>
      <c r="W13" s="210">
        <f t="shared" ref="W13" si="3">SUM(W10:W12)</f>
        <v>584.99</v>
      </c>
    </row>
    <row r="14" spans="1:23" ht="13.6" thickTop="1"/>
    <row r="24" spans="1:9">
      <c r="B24">
        <v>2013</v>
      </c>
      <c r="D24">
        <v>3775.53</v>
      </c>
      <c r="E24">
        <v>3988.22</v>
      </c>
      <c r="F24">
        <f>E24/D24*100</f>
        <v>105.63338127362249</v>
      </c>
    </row>
    <row r="31" spans="1:9" ht="12.75" customHeight="1">
      <c r="A31" s="600"/>
      <c r="B31" s="600"/>
      <c r="C31" s="600"/>
      <c r="D31" s="600"/>
      <c r="E31" s="600"/>
      <c r="F31" s="600"/>
      <c r="G31" s="600"/>
      <c r="H31" s="75"/>
      <c r="I31" s="75"/>
    </row>
    <row r="35" spans="16:16">
      <c r="P35" s="428"/>
    </row>
  </sheetData>
  <mergeCells count="2">
    <mergeCell ref="A31:G3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0">
    <tabColor rgb="FF00B050"/>
  </sheetPr>
  <dimension ref="A1:W37"/>
  <sheetViews>
    <sheetView view="pageBreakPreview" zoomScale="60" zoomScaleNormal="100" workbookViewId="0">
      <selection activeCell="N12" sqref="N12:V12"/>
    </sheetView>
  </sheetViews>
  <sheetFormatPr baseColWidth="10" defaultRowHeight="12.9"/>
  <cols>
    <col min="1" max="1" width="16.875" customWidth="1"/>
    <col min="2" max="13" width="12.75" hidden="1" customWidth="1"/>
    <col min="14" max="23" width="14.75" customWidth="1"/>
  </cols>
  <sheetData>
    <row r="1" spans="1:23" ht="18" customHeight="1"/>
    <row r="2" spans="1:23" ht="18" customHeight="1"/>
    <row r="3" spans="1:23" ht="18" customHeight="1"/>
    <row r="4" spans="1:23" ht="18" customHeight="1">
      <c r="A4" s="592" t="s">
        <v>247</v>
      </c>
      <c r="B4" s="592"/>
      <c r="C4" s="592"/>
      <c r="D4" s="592"/>
      <c r="E4" s="592"/>
      <c r="F4" s="592"/>
      <c r="G4" s="592"/>
      <c r="H4" s="592"/>
      <c r="I4" s="592"/>
      <c r="J4" s="592"/>
      <c r="K4" s="592"/>
      <c r="L4" s="592"/>
      <c r="M4" s="592"/>
      <c r="N4" s="592"/>
      <c r="O4" s="592"/>
      <c r="P4" s="592"/>
      <c r="Q4" s="592"/>
      <c r="R4" s="592"/>
      <c r="S4" s="592"/>
      <c r="T4" s="592"/>
      <c r="U4" s="592"/>
      <c r="V4" s="592"/>
      <c r="W4" s="592"/>
    </row>
    <row r="5" spans="1:23" ht="18" customHeight="1"/>
    <row r="6" spans="1:23" ht="18" customHeight="1"/>
    <row r="7" spans="1:23" ht="18" customHeight="1">
      <c r="A7" s="197" t="s">
        <v>199</v>
      </c>
    </row>
    <row r="8" spans="1:23" s="90" customFormat="1" ht="18.350000000000001">
      <c r="B8" s="95">
        <v>1999</v>
      </c>
      <c r="C8" s="95">
        <v>2000</v>
      </c>
      <c r="D8" s="95">
        <v>2001</v>
      </c>
      <c r="E8" s="95">
        <v>2002</v>
      </c>
      <c r="F8" s="95">
        <v>2003</v>
      </c>
      <c r="G8" s="95">
        <v>2004</v>
      </c>
      <c r="H8" s="95">
        <v>2005</v>
      </c>
      <c r="I8" s="165">
        <v>2006</v>
      </c>
      <c r="J8" s="165">
        <v>2007</v>
      </c>
      <c r="K8" s="165">
        <v>2008</v>
      </c>
      <c r="L8" s="165">
        <v>2009</v>
      </c>
      <c r="M8" s="165">
        <v>2010</v>
      </c>
      <c r="N8" s="165">
        <v>2012</v>
      </c>
      <c r="O8" s="165">
        <v>2013</v>
      </c>
      <c r="P8" s="165">
        <v>2014</v>
      </c>
      <c r="Q8" s="165">
        <v>2015</v>
      </c>
      <c r="R8" s="165">
        <v>2016</v>
      </c>
      <c r="S8" s="165">
        <v>2017</v>
      </c>
      <c r="T8" s="165">
        <v>2018</v>
      </c>
      <c r="U8" s="165">
        <v>2019</v>
      </c>
      <c r="V8" s="165">
        <v>2020</v>
      </c>
      <c r="W8" s="165">
        <v>2021</v>
      </c>
    </row>
    <row r="9" spans="1:23" s="90" customFormat="1" ht="9" customHeight="1" thickBot="1">
      <c r="A9" s="86"/>
      <c r="B9" s="86"/>
      <c r="C9" s="86"/>
      <c r="D9" s="86"/>
      <c r="E9" s="86"/>
      <c r="F9" s="86"/>
      <c r="G9" s="86"/>
      <c r="H9" s="111"/>
      <c r="I9" s="165"/>
      <c r="J9" s="165"/>
      <c r="K9" s="165"/>
      <c r="L9" s="86"/>
      <c r="M9" s="86"/>
    </row>
    <row r="10" spans="1:23" s="90" customFormat="1" ht="32.950000000000003" customHeight="1" thickTop="1" thickBot="1">
      <c r="A10" s="218" t="s">
        <v>4</v>
      </c>
      <c r="B10" s="224">
        <v>476.69</v>
      </c>
      <c r="C10" s="224">
        <v>149.87</v>
      </c>
      <c r="D10" s="224">
        <v>295.24</v>
      </c>
      <c r="E10" s="224">
        <v>270.14999999999998</v>
      </c>
      <c r="F10" s="224">
        <v>404.11</v>
      </c>
      <c r="G10" s="224">
        <v>415.92</v>
      </c>
      <c r="H10" s="224">
        <v>1096.3399999999999</v>
      </c>
      <c r="I10" s="225">
        <v>1873.23</v>
      </c>
      <c r="J10" s="225">
        <v>2448.3200000000002</v>
      </c>
      <c r="K10" s="225">
        <v>2794.53</v>
      </c>
      <c r="L10" s="225">
        <v>2732.51</v>
      </c>
      <c r="M10" s="225">
        <v>2645.57</v>
      </c>
      <c r="N10" s="225">
        <v>2183</v>
      </c>
      <c r="O10" s="225">
        <v>2967.85</v>
      </c>
      <c r="P10" s="225">
        <v>2528.7199999999998</v>
      </c>
      <c r="Q10" s="225">
        <v>2299.06</v>
      </c>
      <c r="R10" s="225">
        <v>2120.5700000000002</v>
      </c>
      <c r="S10" s="225">
        <v>2929.09</v>
      </c>
      <c r="T10" s="225">
        <v>2737.62</v>
      </c>
      <c r="U10" s="225">
        <v>2464.9</v>
      </c>
      <c r="V10" s="225">
        <v>2147.89</v>
      </c>
      <c r="W10" s="225">
        <v>1865.29</v>
      </c>
    </row>
    <row r="11" spans="1:23" ht="13.6" thickTop="1"/>
    <row r="24" spans="2:6">
      <c r="B24">
        <v>2013</v>
      </c>
      <c r="D24">
        <v>3775.53</v>
      </c>
      <c r="E24">
        <v>3988.22</v>
      </c>
      <c r="F24">
        <f>E24/D24*100</f>
        <v>105.63338127362249</v>
      </c>
    </row>
    <row r="36" spans="1:22" ht="15.8" customHeight="1">
      <c r="A36" s="601"/>
      <c r="B36" s="602"/>
      <c r="C36" s="602"/>
      <c r="D36" s="602"/>
      <c r="E36" s="602"/>
      <c r="F36" s="591"/>
      <c r="G36" s="591"/>
      <c r="H36" s="591"/>
      <c r="I36" s="591"/>
      <c r="J36" s="591"/>
      <c r="K36" s="591"/>
      <c r="L36" s="591"/>
      <c r="M36" s="603"/>
      <c r="N36" s="603"/>
      <c r="O36" s="603"/>
      <c r="P36" s="603"/>
      <c r="Q36" s="603"/>
      <c r="R36" s="603"/>
      <c r="S36" s="603"/>
      <c r="T36" s="603"/>
      <c r="U36" s="603"/>
      <c r="V36" s="536"/>
    </row>
    <row r="37" spans="1:22">
      <c r="P37" s="428"/>
    </row>
  </sheetData>
  <mergeCells count="2">
    <mergeCell ref="A36:U36"/>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1">
    <tabColor rgb="FF00B050"/>
  </sheetPr>
  <dimension ref="A1:W48"/>
  <sheetViews>
    <sheetView view="pageBreakPreview" zoomScale="60" zoomScaleNormal="100" workbookViewId="0">
      <selection activeCell="A7" sqref="A7:W21"/>
    </sheetView>
  </sheetViews>
  <sheetFormatPr baseColWidth="10" defaultRowHeight="12.9"/>
  <cols>
    <col min="1" max="1" width="38.25" customWidth="1"/>
    <col min="2" max="7" width="12.75" hidden="1" customWidth="1"/>
    <col min="8" max="13" width="12.25" hidden="1" customWidth="1"/>
    <col min="14" max="22" width="12.75" customWidth="1"/>
    <col min="23" max="23" width="11.75" customWidth="1"/>
  </cols>
  <sheetData>
    <row r="1" spans="1:23" ht="18" customHeight="1"/>
    <row r="2" spans="1:23" ht="18" customHeight="1"/>
    <row r="3" spans="1:23" ht="18" customHeight="1"/>
    <row r="4" spans="1:23" s="206" customFormat="1" ht="21.1" customHeight="1">
      <c r="A4" s="604" t="s">
        <v>175</v>
      </c>
      <c r="B4" s="604"/>
      <c r="C4" s="604"/>
      <c r="D4" s="604"/>
      <c r="E4" s="604"/>
      <c r="F4" s="604"/>
      <c r="G4" s="604"/>
      <c r="H4" s="604"/>
      <c r="I4" s="604"/>
      <c r="J4" s="604"/>
      <c r="K4" s="604"/>
      <c r="L4" s="604"/>
      <c r="M4" s="604"/>
      <c r="N4" s="604"/>
      <c r="O4" s="604"/>
      <c r="P4" s="604"/>
      <c r="Q4" s="604"/>
      <c r="R4" s="604"/>
      <c r="S4" s="604"/>
      <c r="T4" s="604"/>
      <c r="U4" s="604"/>
      <c r="V4" s="604"/>
      <c r="W4" s="604"/>
    </row>
    <row r="5" spans="1:23" ht="21.1" customHeight="1">
      <c r="A5" s="564"/>
      <c r="B5" s="564"/>
      <c r="C5" s="564"/>
      <c r="D5" s="564"/>
      <c r="E5" s="564"/>
      <c r="F5" s="564"/>
      <c r="G5" s="564"/>
      <c r="H5" s="564"/>
      <c r="I5" s="564"/>
      <c r="J5" s="564"/>
      <c r="K5" s="564"/>
      <c r="L5" s="564"/>
      <c r="M5" s="564"/>
      <c r="N5" s="564"/>
      <c r="O5" s="564"/>
      <c r="P5" s="564"/>
      <c r="Q5" s="564"/>
      <c r="R5" s="564"/>
      <c r="S5" s="564"/>
      <c r="T5" s="564"/>
      <c r="U5" s="564"/>
    </row>
    <row r="6" spans="1:23" ht="18" customHeight="1">
      <c r="A6" s="162" t="s">
        <v>199</v>
      </c>
    </row>
    <row r="7" spans="1:23" ht="18" customHeight="1">
      <c r="A7" s="198" t="s">
        <v>18</v>
      </c>
      <c r="B7" s="95">
        <v>1999</v>
      </c>
      <c r="C7" s="95">
        <v>2000</v>
      </c>
      <c r="D7" s="95">
        <v>2001</v>
      </c>
      <c r="E7" s="95">
        <v>2002</v>
      </c>
      <c r="F7" s="95">
        <v>2003</v>
      </c>
      <c r="G7" s="95">
        <v>2004</v>
      </c>
      <c r="H7" s="95">
        <v>2005</v>
      </c>
      <c r="I7" s="165">
        <v>2006</v>
      </c>
      <c r="J7" s="165">
        <v>2007</v>
      </c>
      <c r="K7" s="95">
        <v>2008</v>
      </c>
      <c r="L7" s="95">
        <v>2009</v>
      </c>
      <c r="M7" s="95">
        <v>2010</v>
      </c>
      <c r="N7" s="95">
        <v>2012</v>
      </c>
      <c r="O7" s="95">
        <v>2013</v>
      </c>
      <c r="P7" s="95">
        <v>2014</v>
      </c>
      <c r="Q7" s="95">
        <v>2015</v>
      </c>
      <c r="R7" s="95">
        <v>2016</v>
      </c>
      <c r="S7" s="95">
        <v>2017</v>
      </c>
      <c r="T7" s="95">
        <v>2018</v>
      </c>
      <c r="U7" s="95">
        <v>2019</v>
      </c>
      <c r="V7" s="95">
        <v>2020</v>
      </c>
      <c r="W7" s="95">
        <v>2021</v>
      </c>
    </row>
    <row r="8" spans="1:23" ht="6.8" customHeight="1" thickBot="1">
      <c r="A8" s="86"/>
      <c r="B8" s="86"/>
      <c r="C8" s="86"/>
      <c r="D8" s="86"/>
      <c r="E8" s="86"/>
      <c r="F8" s="86"/>
      <c r="G8" s="86"/>
      <c r="H8" s="86"/>
      <c r="I8" s="255"/>
      <c r="J8" s="255"/>
      <c r="K8" s="157"/>
      <c r="L8" s="157"/>
      <c r="M8" s="157"/>
      <c r="N8" s="157"/>
      <c r="O8" s="157"/>
      <c r="P8" s="157"/>
      <c r="Q8" s="157"/>
      <c r="R8" s="157"/>
      <c r="S8" s="157"/>
      <c r="T8" s="157"/>
      <c r="U8" s="157"/>
      <c r="V8" s="157"/>
      <c r="W8" s="157"/>
    </row>
    <row r="9" spans="1:23" ht="9" customHeight="1" thickTop="1">
      <c r="A9" s="111"/>
      <c r="B9" s="111"/>
      <c r="C9" s="111"/>
      <c r="D9" s="111"/>
      <c r="E9" s="111"/>
      <c r="F9" s="111"/>
      <c r="G9" s="111"/>
      <c r="H9" s="111"/>
      <c r="I9" s="252"/>
      <c r="J9" s="252"/>
    </row>
    <row r="10" spans="1:23" ht="16" customHeight="1">
      <c r="A10" s="234" t="s">
        <v>176</v>
      </c>
      <c r="B10" s="208">
        <f>56084333337/166.386/1000000</f>
        <v>337.07363201831885</v>
      </c>
      <c r="C10" s="208">
        <f>59323666669/166.386/1000000</f>
        <v>356.54241744497733</v>
      </c>
      <c r="D10" s="208">
        <f>71880335323/166.386/1000000</f>
        <v>432.00951596288149</v>
      </c>
      <c r="E10" s="208">
        <v>587.70000000000005</v>
      </c>
      <c r="F10" s="208">
        <v>587.70000000000005</v>
      </c>
      <c r="G10" s="208">
        <v>587.70000000000005</v>
      </c>
      <c r="H10" s="208">
        <v>907.7</v>
      </c>
      <c r="I10" s="257">
        <v>1011.7</v>
      </c>
      <c r="J10" s="257">
        <v>1064.24</v>
      </c>
      <c r="K10" s="208">
        <v>1426.28</v>
      </c>
      <c r="L10" s="208">
        <v>2254.4699999999998</v>
      </c>
      <c r="M10" s="208">
        <v>2900.74</v>
      </c>
      <c r="N10" s="208">
        <v>4555.9399999999996</v>
      </c>
      <c r="O10" s="208">
        <v>5346.08</v>
      </c>
      <c r="P10" s="208">
        <v>6421.72</v>
      </c>
      <c r="Q10" s="208">
        <v>7114.3</v>
      </c>
      <c r="R10" s="208">
        <v>8760.17</v>
      </c>
      <c r="S10" s="208">
        <v>8057.37</v>
      </c>
      <c r="T10" s="208">
        <v>8078.81</v>
      </c>
      <c r="U10" s="208">
        <v>8288.59</v>
      </c>
      <c r="V10" s="208">
        <v>8565.17</v>
      </c>
      <c r="W10" s="208">
        <v>8526.9</v>
      </c>
    </row>
    <row r="11" spans="1:23" ht="16" customHeight="1">
      <c r="A11" s="246" t="s">
        <v>178</v>
      </c>
      <c r="B11" s="208">
        <f>32509163878/166.386/1000000</f>
        <v>195.38400994074019</v>
      </c>
      <c r="C11" s="208">
        <f>33079174045/166.386/1000000</f>
        <v>198.80984004062844</v>
      </c>
      <c r="D11" s="208">
        <f>33985800256/166.386/1000000</f>
        <v>204.2587733102545</v>
      </c>
      <c r="E11" s="208">
        <v>266.85000000000002</v>
      </c>
      <c r="F11" s="208">
        <v>238.68</v>
      </c>
      <c r="G11" s="208">
        <v>197.09</v>
      </c>
      <c r="H11" s="208">
        <v>484.16</v>
      </c>
      <c r="I11" s="257">
        <v>510.28</v>
      </c>
      <c r="J11" s="257">
        <v>515.72</v>
      </c>
      <c r="K11" s="208">
        <v>475.12</v>
      </c>
      <c r="L11" s="208">
        <v>633.29999999999995</v>
      </c>
      <c r="M11" s="208">
        <v>783.75</v>
      </c>
      <c r="N11" s="208">
        <v>1343.2</v>
      </c>
      <c r="O11" s="208">
        <v>1344.67</v>
      </c>
      <c r="P11" s="208">
        <v>659.69</v>
      </c>
      <c r="Q11" s="208">
        <v>550.72</v>
      </c>
      <c r="R11" s="208">
        <v>580.66999999999996</v>
      </c>
      <c r="S11" s="208">
        <v>476.96</v>
      </c>
      <c r="T11" s="208">
        <v>432.05</v>
      </c>
      <c r="U11" s="208">
        <v>434.52</v>
      </c>
      <c r="V11" s="208">
        <v>370.42</v>
      </c>
      <c r="W11" s="581">
        <v>279.01</v>
      </c>
    </row>
    <row r="12" spans="1:23" ht="9" customHeight="1" thickBot="1">
      <c r="A12" s="207"/>
      <c r="B12" s="208"/>
      <c r="C12" s="208"/>
      <c r="D12" s="208"/>
      <c r="E12" s="208"/>
      <c r="F12" s="208"/>
      <c r="G12" s="208"/>
      <c r="H12" s="208"/>
      <c r="I12" s="257"/>
      <c r="J12" s="257"/>
    </row>
    <row r="13" spans="1:23" ht="23.95" customHeight="1" thickTop="1" thickBot="1">
      <c r="A13" s="224" t="s">
        <v>177</v>
      </c>
      <c r="B13" s="210">
        <f t="shared" ref="B13:I13" si="0">SUM(B10:B11)</f>
        <v>532.45764195905906</v>
      </c>
      <c r="C13" s="210">
        <f t="shared" si="0"/>
        <v>555.35225748560583</v>
      </c>
      <c r="D13" s="210">
        <f t="shared" si="0"/>
        <v>636.26828927313602</v>
      </c>
      <c r="E13" s="210">
        <f t="shared" si="0"/>
        <v>854.55000000000007</v>
      </c>
      <c r="F13" s="210">
        <f t="shared" si="0"/>
        <v>826.38000000000011</v>
      </c>
      <c r="G13" s="210">
        <f t="shared" si="0"/>
        <v>784.79000000000008</v>
      </c>
      <c r="H13" s="210">
        <f t="shared" si="0"/>
        <v>1391.8600000000001</v>
      </c>
      <c r="I13" s="210">
        <f t="shared" si="0"/>
        <v>1521.98</v>
      </c>
      <c r="J13" s="210">
        <f t="shared" ref="J13:M13" si="1">SUM(J10:J11)</f>
        <v>1579.96</v>
      </c>
      <c r="K13" s="210">
        <f t="shared" si="1"/>
        <v>1901.4</v>
      </c>
      <c r="L13" s="210">
        <f t="shared" si="1"/>
        <v>2887.7699999999995</v>
      </c>
      <c r="M13" s="210">
        <f t="shared" si="1"/>
        <v>3684.49</v>
      </c>
      <c r="N13" s="210">
        <f t="shared" ref="N13:V13" si="2">SUM(N10:N11)</f>
        <v>5899.1399999999994</v>
      </c>
      <c r="O13" s="210">
        <f t="shared" si="2"/>
        <v>6690.75</v>
      </c>
      <c r="P13" s="210">
        <f t="shared" si="2"/>
        <v>7081.41</v>
      </c>
      <c r="Q13" s="210">
        <f t="shared" si="2"/>
        <v>7665.02</v>
      </c>
      <c r="R13" s="210">
        <f t="shared" si="2"/>
        <v>9340.84</v>
      </c>
      <c r="S13" s="210">
        <f t="shared" si="2"/>
        <v>8534.33</v>
      </c>
      <c r="T13" s="210">
        <f t="shared" si="2"/>
        <v>8510.86</v>
      </c>
      <c r="U13" s="210">
        <f t="shared" si="2"/>
        <v>8723.11</v>
      </c>
      <c r="V13" s="210">
        <f t="shared" si="2"/>
        <v>8935.59</v>
      </c>
      <c r="W13" s="210">
        <f t="shared" ref="W13" si="3">SUM(W10:W11)</f>
        <v>8805.91</v>
      </c>
    </row>
    <row r="14" spans="1:23" s="42" customFormat="1" ht="10.050000000000001" customHeight="1" thickTop="1">
      <c r="A14" s="244"/>
      <c r="B14" s="245"/>
      <c r="C14" s="245"/>
      <c r="D14" s="245"/>
      <c r="E14" s="245"/>
      <c r="F14" s="245"/>
      <c r="G14" s="245"/>
      <c r="H14" s="245"/>
      <c r="I14" s="258"/>
      <c r="J14" s="258"/>
    </row>
    <row r="15" spans="1:23" ht="20.399999999999999">
      <c r="A15" s="198" t="s">
        <v>19</v>
      </c>
      <c r="B15" s="95">
        <v>1999</v>
      </c>
      <c r="C15" s="95">
        <v>2000</v>
      </c>
      <c r="D15" s="95">
        <v>2001</v>
      </c>
      <c r="E15" s="95">
        <v>2002</v>
      </c>
      <c r="F15" s="95">
        <v>2003</v>
      </c>
      <c r="G15" s="95">
        <v>2004</v>
      </c>
      <c r="H15" s="95">
        <v>2005</v>
      </c>
      <c r="I15" s="260">
        <v>2006</v>
      </c>
      <c r="J15" s="260">
        <v>2007</v>
      </c>
      <c r="K15" s="95">
        <v>2008</v>
      </c>
      <c r="L15" s="95">
        <v>2009</v>
      </c>
      <c r="M15" s="95">
        <v>2010</v>
      </c>
      <c r="N15" s="95">
        <v>2012</v>
      </c>
      <c r="O15" s="95">
        <v>2013</v>
      </c>
      <c r="P15" s="95">
        <v>2014</v>
      </c>
      <c r="Q15" s="95">
        <v>2015</v>
      </c>
      <c r="R15" s="95">
        <v>2016</v>
      </c>
      <c r="S15" s="95">
        <v>2017</v>
      </c>
      <c r="T15" s="95">
        <v>2018</v>
      </c>
      <c r="U15" s="95">
        <v>2019</v>
      </c>
      <c r="V15" s="95">
        <v>2020</v>
      </c>
      <c r="W15" s="95">
        <v>2021</v>
      </c>
    </row>
    <row r="16" spans="1:23" ht="6.8" customHeight="1" thickBot="1">
      <c r="A16" s="86"/>
      <c r="B16" s="86"/>
      <c r="C16" s="86"/>
      <c r="D16" s="86"/>
      <c r="E16" s="86"/>
      <c r="F16" s="86"/>
      <c r="G16" s="86"/>
      <c r="H16" s="86"/>
      <c r="I16" s="259"/>
      <c r="J16" s="259"/>
      <c r="K16" s="157"/>
      <c r="L16" s="157"/>
      <c r="M16" s="157"/>
      <c r="N16" s="157"/>
      <c r="O16" s="157"/>
      <c r="P16" s="157"/>
      <c r="Q16" s="157"/>
      <c r="R16" s="157"/>
      <c r="S16" s="157"/>
      <c r="T16" s="157"/>
      <c r="U16" s="157"/>
      <c r="V16" s="157"/>
      <c r="W16" s="157"/>
    </row>
    <row r="17" spans="1:23" ht="8.35" customHeight="1" thickTop="1">
      <c r="A17" s="111"/>
      <c r="B17" s="111"/>
      <c r="C17" s="111"/>
      <c r="D17" s="111"/>
      <c r="E17" s="111"/>
      <c r="F17" s="111"/>
      <c r="G17" s="111"/>
      <c r="H17" s="111"/>
      <c r="I17" s="257"/>
      <c r="J17" s="257"/>
    </row>
    <row r="18" spans="1:23" ht="16" customHeight="1">
      <c r="A18" s="234" t="s">
        <v>176</v>
      </c>
      <c r="B18" s="208"/>
      <c r="C18" s="208"/>
      <c r="D18" s="208"/>
      <c r="E18" s="208"/>
      <c r="F18" s="208"/>
      <c r="G18" s="208"/>
      <c r="H18" s="208">
        <v>60</v>
      </c>
      <c r="I18" s="257">
        <v>60</v>
      </c>
      <c r="J18" s="257">
        <v>60</v>
      </c>
      <c r="K18" s="208">
        <v>60</v>
      </c>
      <c r="L18" s="208">
        <v>60</v>
      </c>
      <c r="M18" s="208">
        <v>58.12</v>
      </c>
      <c r="N18" s="208">
        <v>56.22</v>
      </c>
      <c r="O18" s="208">
        <v>54.03</v>
      </c>
      <c r="P18" s="208">
        <v>51.85</v>
      </c>
      <c r="Q18" s="208">
        <v>49.69</v>
      </c>
      <c r="R18" s="208">
        <v>47.59</v>
      </c>
      <c r="S18" s="208">
        <v>45.49</v>
      </c>
      <c r="T18" s="208">
        <v>43.45</v>
      </c>
      <c r="U18" s="208">
        <v>41.29</v>
      </c>
      <c r="V18" s="208">
        <v>39.380000000000003</v>
      </c>
      <c r="W18" s="208">
        <f>35.6+1.89</f>
        <v>37.49</v>
      </c>
    </row>
    <row r="19" spans="1:23" ht="16" customHeight="1">
      <c r="A19" s="246" t="s">
        <v>178</v>
      </c>
      <c r="B19" s="208"/>
      <c r="C19" s="208"/>
      <c r="D19" s="208"/>
      <c r="E19" s="208"/>
      <c r="F19" s="208"/>
      <c r="G19" s="208"/>
      <c r="H19" s="208">
        <v>43.98</v>
      </c>
      <c r="I19" s="257">
        <v>44.55</v>
      </c>
      <c r="J19" s="257">
        <v>42.39</v>
      </c>
      <c r="K19" s="208">
        <v>39.36</v>
      </c>
      <c r="L19" s="208">
        <v>30.21</v>
      </c>
      <c r="M19" s="208">
        <v>28.28</v>
      </c>
      <c r="N19" s="208">
        <v>22.57</v>
      </c>
      <c r="O19" s="208">
        <v>19.829999999999998</v>
      </c>
      <c r="P19" s="208">
        <v>15.12</v>
      </c>
      <c r="Q19" s="208">
        <v>14.2</v>
      </c>
      <c r="R19" s="208">
        <v>10.09</v>
      </c>
      <c r="S19" s="208">
        <v>7.35</v>
      </c>
      <c r="T19" s="208">
        <v>4.6100000000000003</v>
      </c>
      <c r="U19" s="208">
        <v>2.6</v>
      </c>
      <c r="V19" s="208">
        <v>1.58</v>
      </c>
      <c r="W19" s="581">
        <v>0.95</v>
      </c>
    </row>
    <row r="20" spans="1:23" ht="8.35" customHeight="1" thickBot="1">
      <c r="A20" s="207"/>
      <c r="B20" s="208"/>
      <c r="C20" s="208"/>
      <c r="D20" s="208"/>
      <c r="E20" s="208"/>
      <c r="F20" s="208"/>
      <c r="G20" s="208"/>
      <c r="H20" s="208"/>
      <c r="I20" s="257"/>
      <c r="J20" s="257"/>
      <c r="N20" s="157"/>
      <c r="O20" s="157"/>
      <c r="P20" s="157"/>
      <c r="Q20" s="157"/>
      <c r="R20" s="157"/>
      <c r="S20" s="157"/>
      <c r="T20" s="157"/>
      <c r="U20" s="157"/>
    </row>
    <row r="21" spans="1:23" ht="23.95" customHeight="1" thickTop="1" thickBot="1">
      <c r="A21" s="224" t="s">
        <v>177</v>
      </c>
      <c r="B21" s="210">
        <f t="shared" ref="B21:I21" si="4">SUM(B18:B19)</f>
        <v>0</v>
      </c>
      <c r="C21" s="210">
        <f t="shared" si="4"/>
        <v>0</v>
      </c>
      <c r="D21" s="210">
        <f t="shared" si="4"/>
        <v>0</v>
      </c>
      <c r="E21" s="210">
        <f t="shared" si="4"/>
        <v>0</v>
      </c>
      <c r="F21" s="210">
        <f t="shared" si="4"/>
        <v>0</v>
      </c>
      <c r="G21" s="210">
        <f t="shared" si="4"/>
        <v>0</v>
      </c>
      <c r="H21" s="210">
        <f t="shared" si="4"/>
        <v>103.97999999999999</v>
      </c>
      <c r="I21" s="210">
        <f t="shared" si="4"/>
        <v>104.55</v>
      </c>
      <c r="J21" s="210">
        <f t="shared" ref="J21:M21" si="5">SUM(J18:J19)</f>
        <v>102.39</v>
      </c>
      <c r="K21" s="210">
        <f t="shared" si="5"/>
        <v>99.36</v>
      </c>
      <c r="L21" s="210">
        <f t="shared" si="5"/>
        <v>90.210000000000008</v>
      </c>
      <c r="M21" s="210">
        <f t="shared" si="5"/>
        <v>86.4</v>
      </c>
      <c r="N21" s="210">
        <f t="shared" ref="N21:O21" si="6">SUM(N18:N19)</f>
        <v>78.789999999999992</v>
      </c>
      <c r="O21" s="210">
        <f t="shared" si="6"/>
        <v>73.86</v>
      </c>
      <c r="P21" s="210">
        <f>SUM(P18:P19)</f>
        <v>66.97</v>
      </c>
      <c r="Q21" s="210">
        <f>SUM(Q18:Q19)</f>
        <v>63.89</v>
      </c>
      <c r="R21" s="210">
        <f>SUM(R18:R19)</f>
        <v>57.680000000000007</v>
      </c>
      <c r="S21" s="210">
        <f>SUM(S18:S19)</f>
        <v>52.84</v>
      </c>
      <c r="T21" s="210">
        <f>SUM(T18:T19)</f>
        <v>48.06</v>
      </c>
      <c r="U21" s="210">
        <f t="shared" ref="U21:V21" si="7">SUM(U18:U19)</f>
        <v>43.89</v>
      </c>
      <c r="V21" s="210">
        <f t="shared" si="7"/>
        <v>40.96</v>
      </c>
      <c r="W21" s="210">
        <f t="shared" ref="W21" si="8">SUM(W18:W19)</f>
        <v>38.440000000000005</v>
      </c>
    </row>
    <row r="22" spans="1:23" ht="13.6" thickTop="1"/>
    <row r="23" spans="1:23">
      <c r="B23">
        <v>2013</v>
      </c>
      <c r="D23">
        <v>3775.53</v>
      </c>
      <c r="E23">
        <v>3988.22</v>
      </c>
      <c r="F23">
        <f>E23/D23*100</f>
        <v>105.63338127362249</v>
      </c>
    </row>
    <row r="48" spans="16:16">
      <c r="P48" s="428"/>
    </row>
  </sheetData>
  <mergeCells count="1">
    <mergeCell ref="A4:W4"/>
  </mergeCells>
  <pageMargins left="0.70866141732283472" right="0.51181102362204722" top="0.55118110236220474" bottom="0.55118110236220474" header="0.31496062992125984" footer="0.51181102362204722"/>
  <pageSetup paperSize="9" scale="76" orientation="landscape" horizontalDpi="300" verticalDpi="300" r:id="rId1"/>
  <headerFooter scaleWithDoc="0">
    <oddFooter>&amp;R&amp;P</oddFooter>
  </headerFooter>
  <drawing r:id="rId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pageSetUpPr fitToPage="1"/>
  </sheetPr>
  <dimension ref="A1:M24"/>
  <sheetViews>
    <sheetView topLeftCell="E1" workbookViewId="0">
      <selection activeCell="M19" sqref="M19"/>
    </sheetView>
  </sheetViews>
  <sheetFormatPr baseColWidth="10" defaultRowHeight="12.9"/>
  <cols>
    <col min="1" max="1" width="29.125" customWidth="1"/>
    <col min="2" max="2" width="12.25" hidden="1" customWidth="1"/>
    <col min="3" max="3" width="13.375" hidden="1" customWidth="1"/>
    <col min="4" max="9" width="13.375" bestFit="1" customWidth="1"/>
    <col min="10" max="11" width="15.375" bestFit="1" customWidth="1"/>
    <col min="12" max="12" width="15.125" bestFit="1" customWidth="1"/>
    <col min="13" max="13" width="15.125" customWidth="1"/>
  </cols>
  <sheetData>
    <row r="1" spans="1:13" ht="18" customHeight="1"/>
    <row r="2" spans="1:13" ht="18" customHeight="1"/>
    <row r="3" spans="1:13" ht="18" customHeight="1"/>
    <row r="4" spans="1:13" ht="18" customHeight="1">
      <c r="A4" s="592" t="s">
        <v>10</v>
      </c>
      <c r="B4" s="592"/>
      <c r="C4" s="592"/>
      <c r="D4" s="592"/>
      <c r="E4" s="592"/>
      <c r="F4" s="592"/>
      <c r="G4" s="592"/>
      <c r="H4" s="592"/>
      <c r="I4" s="592"/>
      <c r="J4" s="592"/>
      <c r="K4" s="592"/>
      <c r="L4" s="592"/>
      <c r="M4" s="592"/>
    </row>
    <row r="5" spans="1:13" ht="18" customHeight="1"/>
    <row r="6" spans="1:13" ht="18" customHeight="1">
      <c r="A6" s="43" t="s">
        <v>6</v>
      </c>
    </row>
    <row r="7" spans="1:13" ht="18" customHeight="1"/>
    <row r="8" spans="1:13" s="90" customFormat="1" ht="18" customHeight="1">
      <c r="B8" s="95">
        <v>1999</v>
      </c>
      <c r="C8" s="95">
        <v>2000</v>
      </c>
      <c r="D8" s="95">
        <v>2001</v>
      </c>
      <c r="E8" s="95">
        <v>2002</v>
      </c>
      <c r="F8" s="95">
        <v>2003</v>
      </c>
      <c r="G8" s="95">
        <v>2004</v>
      </c>
      <c r="H8" s="95">
        <v>2005</v>
      </c>
      <c r="I8" s="165">
        <v>2006</v>
      </c>
      <c r="J8" s="165">
        <v>2007</v>
      </c>
      <c r="K8" s="165">
        <v>2008</v>
      </c>
      <c r="L8" s="165">
        <v>2009</v>
      </c>
      <c r="M8" s="165">
        <v>2010</v>
      </c>
    </row>
    <row r="9" spans="1:13" s="90" customFormat="1" ht="9" customHeight="1" thickBot="1">
      <c r="A9" s="86"/>
      <c r="B9" s="86"/>
      <c r="C9" s="86"/>
      <c r="D9" s="86"/>
      <c r="E9" s="86"/>
      <c r="F9" s="86"/>
      <c r="G9" s="86"/>
      <c r="H9" s="86"/>
      <c r="I9" s="255"/>
      <c r="J9" s="255"/>
      <c r="K9" s="255"/>
      <c r="L9" s="86"/>
      <c r="M9" s="86"/>
    </row>
    <row r="10" spans="1:13" s="90" customFormat="1" ht="9" customHeight="1" thickTop="1">
      <c r="I10" s="252"/>
      <c r="J10" s="252"/>
      <c r="K10" s="252"/>
    </row>
    <row r="11" spans="1:13" s="234" customFormat="1" ht="36" customHeight="1">
      <c r="A11" s="187" t="s">
        <v>11</v>
      </c>
      <c r="B11" s="239">
        <v>148.71</v>
      </c>
      <c r="C11" s="408">
        <v>145.72</v>
      </c>
      <c r="D11" s="398">
        <v>184.83</v>
      </c>
      <c r="E11" s="398">
        <v>225.73</v>
      </c>
      <c r="F11" s="398">
        <v>275.81</v>
      </c>
      <c r="G11" s="398">
        <v>360.82</v>
      </c>
      <c r="H11" s="398">
        <v>638.41</v>
      </c>
      <c r="I11" s="398">
        <v>789.31</v>
      </c>
      <c r="J11" s="398">
        <v>905.87</v>
      </c>
      <c r="K11" s="398">
        <v>1026.52</v>
      </c>
      <c r="L11" s="398">
        <v>973.01</v>
      </c>
      <c r="M11" s="398">
        <v>1004.51</v>
      </c>
    </row>
    <row r="12" spans="1:13" s="234" customFormat="1" ht="36.700000000000003" customHeight="1">
      <c r="A12" s="185" t="s">
        <v>12</v>
      </c>
      <c r="B12" s="261"/>
      <c r="C12" s="398">
        <v>23.86</v>
      </c>
      <c r="D12" s="398">
        <v>14.73</v>
      </c>
      <c r="E12" s="398">
        <v>22.43</v>
      </c>
      <c r="F12" s="398">
        <v>39.71</v>
      </c>
      <c r="G12" s="398">
        <v>56.07</v>
      </c>
      <c r="H12" s="398">
        <v>63.24</v>
      </c>
      <c r="I12" s="398">
        <v>73.64</v>
      </c>
      <c r="J12" s="398">
        <v>78.89</v>
      </c>
      <c r="K12" s="398">
        <v>109.05</v>
      </c>
      <c r="L12" s="398">
        <v>130.74</v>
      </c>
      <c r="M12" s="398">
        <v>142.63</v>
      </c>
    </row>
    <row r="13" spans="1:13" s="234" customFormat="1" ht="36" customHeight="1">
      <c r="A13" s="185" t="s">
        <v>20</v>
      </c>
      <c r="B13" s="261">
        <v>0.31</v>
      </c>
      <c r="C13" s="399">
        <v>0.24</v>
      </c>
      <c r="D13" s="399">
        <v>0.16</v>
      </c>
      <c r="E13" s="399">
        <v>0.08</v>
      </c>
      <c r="F13" s="399">
        <v>0.3</v>
      </c>
      <c r="G13" s="399">
        <v>4.38</v>
      </c>
      <c r="H13" s="399">
        <v>7.2743796899999991</v>
      </c>
      <c r="I13" s="400">
        <v>5.36</v>
      </c>
      <c r="J13" s="400">
        <v>1.1399999999999999</v>
      </c>
      <c r="K13" s="400">
        <v>0.04</v>
      </c>
      <c r="L13" s="399">
        <v>0.02</v>
      </c>
      <c r="M13" s="399">
        <v>0.54</v>
      </c>
    </row>
    <row r="14" spans="1:13" s="234" customFormat="1" ht="30.75" customHeight="1">
      <c r="A14" s="185" t="s">
        <v>13</v>
      </c>
      <c r="B14" s="240"/>
      <c r="C14" s="399">
        <v>55.255624550964718</v>
      </c>
      <c r="D14" s="399">
        <v>67.688492925912371</v>
      </c>
      <c r="E14" s="399">
        <v>83.902399306750738</v>
      </c>
      <c r="F14" s="399">
        <v>91.607534272421475</v>
      </c>
      <c r="G14" s="399">
        <v>87.463692319661646</v>
      </c>
      <c r="H14" s="399">
        <v>83.200056949593957</v>
      </c>
      <c r="I14" s="400">
        <v>121.05817129657741</v>
      </c>
      <c r="J14" s="400">
        <v>167.67494501535921</v>
      </c>
      <c r="K14" s="400">
        <v>182.26287569787286</v>
      </c>
      <c r="L14" s="399">
        <v>199.16257847940491</v>
      </c>
      <c r="M14" s="399">
        <v>185.43</v>
      </c>
    </row>
    <row r="15" spans="1:13" s="234" customFormat="1" ht="30.1" customHeight="1">
      <c r="A15" s="207" t="s">
        <v>14</v>
      </c>
      <c r="C15" s="401"/>
      <c r="D15" s="401">
        <v>3.61</v>
      </c>
      <c r="E15" s="401">
        <v>3.35</v>
      </c>
      <c r="F15" s="401">
        <v>3.09</v>
      </c>
      <c r="G15" s="401">
        <v>2.83</v>
      </c>
      <c r="H15" s="401">
        <v>2.83</v>
      </c>
      <c r="I15" s="402">
        <v>2.83</v>
      </c>
      <c r="J15" s="402">
        <v>2.83</v>
      </c>
      <c r="K15" s="402">
        <v>2.83</v>
      </c>
      <c r="L15" s="402">
        <v>2.83</v>
      </c>
      <c r="M15" s="402">
        <v>2.58</v>
      </c>
    </row>
    <row r="16" spans="1:13" s="90" customFormat="1" ht="9" customHeight="1" thickBot="1">
      <c r="A16" s="86"/>
      <c r="B16" s="86"/>
      <c r="C16" s="403"/>
      <c r="D16" s="403"/>
      <c r="E16" s="403"/>
      <c r="F16" s="403"/>
      <c r="G16" s="403"/>
      <c r="H16" s="404"/>
      <c r="I16" s="405"/>
      <c r="J16" s="405"/>
      <c r="K16" s="405"/>
      <c r="L16" s="406"/>
      <c r="M16" s="406"/>
    </row>
    <row r="17" spans="1:13" s="234" customFormat="1" ht="30.1" customHeight="1" thickTop="1" thickBot="1">
      <c r="A17" s="224" t="s">
        <v>15</v>
      </c>
      <c r="B17" s="224">
        <v>149.02000000000001</v>
      </c>
      <c r="C17" s="407">
        <v>225.0756245509647</v>
      </c>
      <c r="D17" s="407">
        <f>SUM(D11:D15)</f>
        <v>271.01849292591237</v>
      </c>
      <c r="E17" s="407">
        <f>SUM(E11:E16)</f>
        <v>335.49239930675077</v>
      </c>
      <c r="F17" s="407">
        <f t="shared" ref="F17:M17" si="0">SUM(F11:F15)</f>
        <v>410.51753427242141</v>
      </c>
      <c r="G17" s="407">
        <f t="shared" si="0"/>
        <v>511.56369231966158</v>
      </c>
      <c r="H17" s="407">
        <f t="shared" si="0"/>
        <v>794.95443663959406</v>
      </c>
      <c r="I17" s="407">
        <f t="shared" si="0"/>
        <v>992.19817129657736</v>
      </c>
      <c r="J17" s="407">
        <f t="shared" si="0"/>
        <v>1156.4049450153591</v>
      </c>
      <c r="K17" s="407">
        <f t="shared" si="0"/>
        <v>1320.7028756978727</v>
      </c>
      <c r="L17" s="407">
        <f t="shared" si="0"/>
        <v>1305.7625784794047</v>
      </c>
      <c r="M17" s="407">
        <f t="shared" si="0"/>
        <v>1335.6899999999998</v>
      </c>
    </row>
    <row r="18" spans="1:13" s="90" customFormat="1" ht="19.05" thickTop="1">
      <c r="D18" s="410"/>
      <c r="K18" s="410"/>
      <c r="L18" s="410"/>
    </row>
    <row r="19" spans="1:13" s="90" customFormat="1" ht="18.350000000000001"/>
    <row r="20" spans="1:13" s="90" customFormat="1" ht="18.350000000000001">
      <c r="A20" s="605" t="s">
        <v>61</v>
      </c>
      <c r="B20" s="606"/>
      <c r="C20" s="606"/>
      <c r="D20" s="606"/>
      <c r="E20" s="606"/>
      <c r="F20" s="606"/>
      <c r="G20" s="606"/>
      <c r="H20" s="606"/>
      <c r="I20" s="606"/>
      <c r="J20" s="606"/>
      <c r="K20" s="606"/>
      <c r="L20" s="607"/>
      <c r="M20" s="607"/>
    </row>
    <row r="21" spans="1:13" s="33" customFormat="1" ht="15.65">
      <c r="A21" s="606"/>
      <c r="B21" s="606"/>
      <c r="C21" s="606"/>
      <c r="D21" s="606"/>
      <c r="E21" s="606"/>
      <c r="F21" s="606"/>
      <c r="G21" s="606"/>
      <c r="H21" s="606"/>
      <c r="I21" s="606"/>
      <c r="J21" s="606"/>
      <c r="K21" s="606"/>
      <c r="L21" s="607"/>
      <c r="M21" s="607"/>
    </row>
    <row r="22" spans="1:13" s="90" customFormat="1" ht="18.350000000000001">
      <c r="A22" s="235" t="s">
        <v>16</v>
      </c>
    </row>
    <row r="23" spans="1:13" s="90" customFormat="1" ht="18.350000000000001"/>
    <row r="24" spans="1:13" s="90" customFormat="1" ht="18.350000000000001"/>
  </sheetData>
  <mergeCells count="2">
    <mergeCell ref="A4:M4"/>
    <mergeCell ref="A20:M21"/>
  </mergeCells>
  <pageMargins left="0.70866141732283472" right="0.70866141732283472" top="0.74803149606299213" bottom="0.74803149606299213" header="0.31496062992125984" footer="0.31496062992125984"/>
  <pageSetup paperSize="9" scale="76" orientation="landscape" horizontalDpi="4294967293"/>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pageSetUpPr fitToPage="1"/>
  </sheetPr>
  <dimension ref="A1:O25"/>
  <sheetViews>
    <sheetView showGridLines="0" workbookViewId="0">
      <selection activeCell="L24" sqref="L24"/>
    </sheetView>
  </sheetViews>
  <sheetFormatPr baseColWidth="10" defaultColWidth="11.375" defaultRowHeight="13.6"/>
  <cols>
    <col min="1" max="1" width="37.75" style="369" customWidth="1"/>
    <col min="2" max="5" width="10.75" style="368" hidden="1" customWidth="1"/>
    <col min="6" max="8" width="10.75" style="368" customWidth="1"/>
    <col min="9" max="11" width="11.75" style="368" customWidth="1"/>
    <col min="12" max="16384" width="11.375" style="368"/>
  </cols>
  <sheetData>
    <row r="1" spans="1:15" ht="23.3" customHeight="1">
      <c r="A1" s="608" t="s">
        <v>60</v>
      </c>
      <c r="B1" s="609"/>
      <c r="C1" s="609"/>
      <c r="D1" s="609"/>
      <c r="E1" s="609"/>
      <c r="F1" s="609"/>
      <c r="G1" s="609"/>
      <c r="H1" s="609"/>
      <c r="I1" s="609"/>
      <c r="J1" s="609"/>
      <c r="K1" s="609"/>
      <c r="L1" s="609"/>
      <c r="M1" s="609"/>
      <c r="N1" s="610"/>
    </row>
    <row r="2" spans="1:15" ht="23.3" customHeight="1">
      <c r="A2" s="611"/>
      <c r="B2" s="612"/>
      <c r="C2" s="612"/>
      <c r="D2" s="612"/>
      <c r="E2" s="612"/>
      <c r="F2" s="612"/>
      <c r="G2" s="612"/>
      <c r="H2" s="612"/>
      <c r="I2" s="612"/>
      <c r="J2" s="612"/>
      <c r="K2" s="612"/>
      <c r="L2" s="612"/>
      <c r="M2" s="612"/>
      <c r="N2" s="613"/>
    </row>
    <row r="4" spans="1:15">
      <c r="A4" s="162" t="s">
        <v>6</v>
      </c>
      <c r="B4" s="370">
        <v>1999</v>
      </c>
      <c r="C4" s="370">
        <v>2000</v>
      </c>
      <c r="D4" s="370">
        <v>2001</v>
      </c>
      <c r="E4" s="370">
        <v>2002</v>
      </c>
      <c r="F4" s="370">
        <v>2003</v>
      </c>
      <c r="G4" s="370">
        <v>2004</v>
      </c>
      <c r="H4" s="370">
        <v>2005</v>
      </c>
      <c r="I4" s="370">
        <v>2006</v>
      </c>
      <c r="J4" s="370">
        <v>2007</v>
      </c>
      <c r="K4" s="370">
        <v>2008</v>
      </c>
      <c r="L4" s="370">
        <v>2009</v>
      </c>
      <c r="M4" s="370">
        <v>2010</v>
      </c>
      <c r="N4" s="370">
        <v>2011</v>
      </c>
      <c r="O4" s="370">
        <v>2012</v>
      </c>
    </row>
    <row r="5" spans="1:15">
      <c r="A5" s="371" t="s">
        <v>29</v>
      </c>
      <c r="B5" s="372">
        <v>796.3</v>
      </c>
      <c r="C5" s="372">
        <v>873.73</v>
      </c>
      <c r="D5" s="372">
        <v>859.57</v>
      </c>
      <c r="E5" s="372">
        <v>1807.94</v>
      </c>
      <c r="F5" s="372">
        <v>2044.61</v>
      </c>
      <c r="G5" s="372">
        <v>2678.88</v>
      </c>
      <c r="H5" s="372">
        <v>2489.8200000000002</v>
      </c>
      <c r="I5" s="372">
        <v>2864.9500000000003</v>
      </c>
      <c r="J5" s="372">
        <v>2969.87</v>
      </c>
      <c r="K5" s="375">
        <v>2816.23</v>
      </c>
      <c r="L5" s="375">
        <f>'Liquidado  2002-11'!V10</f>
        <v>2973.04</v>
      </c>
      <c r="M5" s="372">
        <f>'Liquidado  2002-11'!X10</f>
        <v>2684.16</v>
      </c>
      <c r="N5" s="373">
        <f>'Liquidado  2002-11'!Z10</f>
        <v>3906.2508572299998</v>
      </c>
      <c r="O5" s="373">
        <v>3906.23</v>
      </c>
    </row>
    <row r="6" spans="1:15">
      <c r="A6" s="374" t="s">
        <v>42</v>
      </c>
      <c r="B6" s="375">
        <v>546.66</v>
      </c>
      <c r="C6" s="375">
        <v>634.17000000000007</v>
      </c>
      <c r="D6" s="375">
        <v>698.8</v>
      </c>
      <c r="E6" s="375">
        <v>1530.6299999999999</v>
      </c>
      <c r="F6" s="375">
        <v>1694.0099999999998</v>
      </c>
      <c r="G6" s="375">
        <v>1773.9900000000002</v>
      </c>
      <c r="H6" s="375">
        <v>2324.0100000000002</v>
      </c>
      <c r="I6" s="375">
        <v>2379.77</v>
      </c>
      <c r="J6" s="375">
        <v>2666.87</v>
      </c>
      <c r="K6" s="375">
        <v>2909.6800000000003</v>
      </c>
      <c r="L6" s="409">
        <f>'Liquidado  2002-11'!V29</f>
        <v>3100.3199999999997</v>
      </c>
      <c r="M6" s="409">
        <f>'Liquidado  2002-11'!X29</f>
        <v>3113.7300000000005</v>
      </c>
      <c r="N6" s="397">
        <f>'Liquidado  2002-11'!Z29</f>
        <v>4586.9573306900002</v>
      </c>
      <c r="O6" s="397">
        <v>3956.96</v>
      </c>
    </row>
    <row r="7" spans="1:15">
      <c r="A7" s="377" t="s">
        <v>49</v>
      </c>
      <c r="B7" s="378">
        <f t="shared" ref="B7:N7" si="0">B5-B6</f>
        <v>249.64</v>
      </c>
      <c r="C7" s="378">
        <f t="shared" si="0"/>
        <v>239.55999999999995</v>
      </c>
      <c r="D7" s="378">
        <f t="shared" si="0"/>
        <v>160.7700000000001</v>
      </c>
      <c r="E7" s="378">
        <f t="shared" si="0"/>
        <v>277.31000000000017</v>
      </c>
      <c r="F7" s="378">
        <f t="shared" si="0"/>
        <v>350.60000000000014</v>
      </c>
      <c r="G7" s="378">
        <f t="shared" si="0"/>
        <v>904.88999999999987</v>
      </c>
      <c r="H7" s="378">
        <f t="shared" si="0"/>
        <v>165.80999999999995</v>
      </c>
      <c r="I7" s="378">
        <f t="shared" si="0"/>
        <v>485.18000000000029</v>
      </c>
      <c r="J7" s="378">
        <f t="shared" si="0"/>
        <v>303</v>
      </c>
      <c r="K7" s="378">
        <f t="shared" si="0"/>
        <v>-93.450000000000273</v>
      </c>
      <c r="L7" s="378">
        <f t="shared" si="0"/>
        <v>-127.27999999999975</v>
      </c>
      <c r="M7" s="378">
        <f t="shared" si="0"/>
        <v>-429.57000000000062</v>
      </c>
      <c r="N7" s="379">
        <f t="shared" si="0"/>
        <v>-680.70647346000032</v>
      </c>
      <c r="O7" s="379">
        <v>-50.73</v>
      </c>
    </row>
    <row r="8" spans="1:15">
      <c r="A8" s="374" t="s">
        <v>50</v>
      </c>
      <c r="B8" s="375">
        <v>199.26</v>
      </c>
      <c r="C8" s="375">
        <v>230.62999999999994</v>
      </c>
      <c r="D8" s="375">
        <v>156.7600000000001</v>
      </c>
      <c r="E8" s="375">
        <v>273.30000000000018</v>
      </c>
      <c r="F8" s="375">
        <v>344.41000000000014</v>
      </c>
      <c r="G8" s="375">
        <v>894.64999999999986</v>
      </c>
      <c r="H8" s="375">
        <v>123.53999999999994</v>
      </c>
      <c r="I8" s="375">
        <v>443.1100000000003</v>
      </c>
      <c r="J8" s="375">
        <v>260.93</v>
      </c>
      <c r="K8" s="375">
        <v>-135.52000000000027</v>
      </c>
      <c r="L8" s="375">
        <f>L7-'Liquidado  2002-11'!V36</f>
        <v>-207.18999999999974</v>
      </c>
      <c r="M8" s="375">
        <f>M7-'Liquidado  2002-11'!X36</f>
        <v>-498.82000000000062</v>
      </c>
      <c r="N8" s="376">
        <f>N7-'Liquidado  2002-11'!Z36</f>
        <v>-1161.6043367900004</v>
      </c>
      <c r="O8" s="373">
        <v>-531.63</v>
      </c>
    </row>
    <row r="9" spans="1:15">
      <c r="A9" s="377" t="s">
        <v>51</v>
      </c>
      <c r="B9" s="380">
        <f t="shared" ref="B9:O9" si="1">B7/B5</f>
        <v>0.31349993720959435</v>
      </c>
      <c r="C9" s="380">
        <f t="shared" si="1"/>
        <v>0.2741808110056882</v>
      </c>
      <c r="D9" s="380">
        <f t="shared" si="1"/>
        <v>0.18703537815419347</v>
      </c>
      <c r="E9" s="380">
        <f t="shared" si="1"/>
        <v>0.15338451497284211</v>
      </c>
      <c r="F9" s="380">
        <f t="shared" si="1"/>
        <v>0.17147524466768732</v>
      </c>
      <c r="G9" s="380">
        <f t="shared" si="1"/>
        <v>0.3377866869736606</v>
      </c>
      <c r="H9" s="380">
        <f t="shared" si="1"/>
        <v>6.6595175554859359E-2</v>
      </c>
      <c r="I9" s="380">
        <f t="shared" si="1"/>
        <v>0.16935025044067095</v>
      </c>
      <c r="J9" s="380">
        <f t="shared" si="1"/>
        <v>0.10202466774639968</v>
      </c>
      <c r="K9" s="380">
        <f t="shared" si="1"/>
        <v>-3.3182659086793437E-2</v>
      </c>
      <c r="L9" s="380">
        <f t="shared" si="1"/>
        <v>-4.2811398433926132E-2</v>
      </c>
      <c r="M9" s="380">
        <f t="shared" si="1"/>
        <v>-0.16003889484978565</v>
      </c>
      <c r="N9" s="381">
        <f t="shared" si="1"/>
        <v>-0.17426081896407003</v>
      </c>
      <c r="O9" s="381">
        <f t="shared" si="1"/>
        <v>-1.2986946493166044E-2</v>
      </c>
    </row>
    <row r="10" spans="1:15">
      <c r="A10" s="382" t="s">
        <v>52</v>
      </c>
      <c r="B10" s="383">
        <f t="shared" ref="B10:O10" si="2">B8/B5</f>
        <v>0.25023232450081628</v>
      </c>
      <c r="C10" s="383">
        <f t="shared" si="2"/>
        <v>0.26396026232360104</v>
      </c>
      <c r="D10" s="383">
        <f t="shared" si="2"/>
        <v>0.18237025489488942</v>
      </c>
      <c r="E10" s="383">
        <f t="shared" si="2"/>
        <v>0.15116652101286557</v>
      </c>
      <c r="F10" s="383">
        <f t="shared" si="2"/>
        <v>0.16844777243581913</v>
      </c>
      <c r="G10" s="383">
        <f t="shared" si="2"/>
        <v>0.33396419399151878</v>
      </c>
      <c r="H10" s="383">
        <f t="shared" si="2"/>
        <v>4.9618044677928498E-2</v>
      </c>
      <c r="I10" s="383">
        <f t="shared" si="2"/>
        <v>0.15466587549520944</v>
      </c>
      <c r="J10" s="383">
        <f t="shared" si="2"/>
        <v>8.7859064538178447E-2</v>
      </c>
      <c r="K10" s="383">
        <f t="shared" si="2"/>
        <v>-4.8121069656952828E-2</v>
      </c>
      <c r="L10" s="383">
        <f t="shared" si="2"/>
        <v>-6.9689610634232887E-2</v>
      </c>
      <c r="M10" s="383">
        <f t="shared" si="2"/>
        <v>-0.18583840009537458</v>
      </c>
      <c r="N10" s="384">
        <f t="shared" si="2"/>
        <v>-0.29737064495999038</v>
      </c>
      <c r="O10" s="384">
        <f t="shared" si="2"/>
        <v>-0.13609797682164132</v>
      </c>
    </row>
    <row r="11" spans="1:15">
      <c r="O11" s="373"/>
    </row>
    <row r="12" spans="1:15">
      <c r="A12" s="371" t="s">
        <v>32</v>
      </c>
      <c r="B12" s="372">
        <v>53.14</v>
      </c>
      <c r="C12" s="372">
        <v>61.42</v>
      </c>
      <c r="D12" s="372">
        <v>61.81</v>
      </c>
      <c r="E12" s="372">
        <v>50.236823060000006</v>
      </c>
      <c r="F12" s="372">
        <v>61.96</v>
      </c>
      <c r="G12" s="372">
        <v>64.81</v>
      </c>
      <c r="H12" s="372">
        <v>63.71</v>
      </c>
      <c r="I12" s="372">
        <v>46.56</v>
      </c>
      <c r="J12" s="372">
        <v>42.349999999999994</v>
      </c>
      <c r="K12" s="372">
        <v>59.98</v>
      </c>
      <c r="L12" s="372">
        <f>'Liquidado  2002-11'!V13</f>
        <v>167.20999999999998</v>
      </c>
      <c r="M12" s="372">
        <f>'Liquidado  2002-11'!X13</f>
        <v>145.16</v>
      </c>
      <c r="N12" s="373">
        <f>'Liquidado  2002-11'!Z13</f>
        <v>43.848139369999991</v>
      </c>
      <c r="O12" s="373">
        <f>1.64+42.2</f>
        <v>43.84</v>
      </c>
    </row>
    <row r="13" spans="1:15">
      <c r="A13" s="374" t="s">
        <v>45</v>
      </c>
      <c r="B13" s="375">
        <v>280.33</v>
      </c>
      <c r="C13" s="375">
        <v>292.40999999999997</v>
      </c>
      <c r="D13" s="375">
        <v>300.23</v>
      </c>
      <c r="E13" s="375">
        <v>448.74</v>
      </c>
      <c r="F13" s="375">
        <v>429.52</v>
      </c>
      <c r="G13" s="375">
        <v>529.67999999999995</v>
      </c>
      <c r="H13" s="375">
        <v>581.44000000000005</v>
      </c>
      <c r="I13" s="375">
        <v>534.75</v>
      </c>
      <c r="J13" s="375">
        <v>597.68999999999994</v>
      </c>
      <c r="K13" s="375">
        <v>682.68000000000006</v>
      </c>
      <c r="L13" s="375">
        <f>'Liquidado  2002-11'!V32</f>
        <v>780.69</v>
      </c>
      <c r="M13" s="375">
        <f>'Liquidado  2002-11'!X32</f>
        <v>682.09</v>
      </c>
      <c r="N13" s="376">
        <f>'Liquidado  2002-11'!Z32</f>
        <v>390.84398783999995</v>
      </c>
      <c r="O13" s="376">
        <f>103.01+287.83</f>
        <v>390.84</v>
      </c>
    </row>
    <row r="14" spans="1:15">
      <c r="A14" s="385" t="s">
        <v>53</v>
      </c>
      <c r="B14" s="386">
        <f t="shared" ref="B14:K14" si="3">(B7+B12)/B13</f>
        <v>1.0800841864944886</v>
      </c>
      <c r="C14" s="386">
        <f t="shared" si="3"/>
        <v>1.0293081631955132</v>
      </c>
      <c r="D14" s="386">
        <f t="shared" si="3"/>
        <v>0.74136495353562293</v>
      </c>
      <c r="E14" s="386">
        <f t="shared" si="3"/>
        <v>0.72992562076035161</v>
      </c>
      <c r="F14" s="386">
        <f t="shared" si="3"/>
        <v>0.96051406220897773</v>
      </c>
      <c r="G14" s="386">
        <f t="shared" si="3"/>
        <v>1.8307279867089561</v>
      </c>
      <c r="H14" s="386">
        <f t="shared" si="3"/>
        <v>0.39474408365437524</v>
      </c>
      <c r="I14" s="386">
        <f t="shared" si="3"/>
        <v>0.99437120149602665</v>
      </c>
      <c r="J14" s="386">
        <f t="shared" si="3"/>
        <v>0.57780789372417152</v>
      </c>
      <c r="K14" s="386">
        <f t="shared" si="3"/>
        <v>-4.9027362746821748E-2</v>
      </c>
      <c r="L14" s="386">
        <f>(L7+L12)/L13</f>
        <v>5.1147062214195432E-2</v>
      </c>
      <c r="M14" s="386">
        <f>(M7+M12)/M13</f>
        <v>-0.41696843525048105</v>
      </c>
      <c r="N14" s="387">
        <f>(N7+N12)/N13</f>
        <v>-1.629443854591698</v>
      </c>
      <c r="O14" s="387">
        <f>(O7+O12)/O13</f>
        <v>-1.7628697165080323E-2</v>
      </c>
    </row>
    <row r="15" spans="1:15">
      <c r="O15" s="373"/>
    </row>
    <row r="16" spans="1:15">
      <c r="A16" s="371" t="s">
        <v>33</v>
      </c>
      <c r="B16" s="372">
        <v>849.43999999999994</v>
      </c>
      <c r="C16" s="372">
        <v>935.15</v>
      </c>
      <c r="D16" s="372">
        <v>921.38000000000011</v>
      </c>
      <c r="E16" s="372">
        <v>1858.1768230600001</v>
      </c>
      <c r="F16" s="372">
        <v>2106.5699999999997</v>
      </c>
      <c r="G16" s="372">
        <v>2743.69</v>
      </c>
      <c r="H16" s="372">
        <v>2553.5300000000002</v>
      </c>
      <c r="I16" s="372">
        <v>2911.51</v>
      </c>
      <c r="J16" s="372">
        <v>3012.22</v>
      </c>
      <c r="K16" s="372">
        <v>2876.21</v>
      </c>
      <c r="L16" s="372">
        <f>'Liquidado  2002-11'!V14</f>
        <v>3140.25</v>
      </c>
      <c r="M16" s="372">
        <f>'Liquidado  2002-11'!X14</f>
        <v>2829.3199999999997</v>
      </c>
      <c r="N16" s="373">
        <f>'Liquidado  2002-11'!Z14</f>
        <v>3950.0989965999997</v>
      </c>
      <c r="O16" s="373">
        <f>3950.08</f>
        <v>3950.08</v>
      </c>
    </row>
    <row r="17" spans="1:15">
      <c r="A17" s="374" t="s">
        <v>54</v>
      </c>
      <c r="B17" s="375">
        <v>826.99</v>
      </c>
      <c r="C17" s="375">
        <v>926.58</v>
      </c>
      <c r="D17" s="375">
        <v>999.03</v>
      </c>
      <c r="E17" s="375">
        <v>1979.37</v>
      </c>
      <c r="F17" s="375">
        <v>2123.5299999999997</v>
      </c>
      <c r="G17" s="375">
        <v>2303.67</v>
      </c>
      <c r="H17" s="375">
        <v>2905.4500000000003</v>
      </c>
      <c r="I17" s="375">
        <v>2914.52</v>
      </c>
      <c r="J17" s="375">
        <v>3264.56</v>
      </c>
      <c r="K17" s="375">
        <v>3592.3600000000006</v>
      </c>
      <c r="L17" s="375">
        <f>'Liquidado  2002-11'!V33</f>
        <v>3881.0099999999998</v>
      </c>
      <c r="M17" s="375">
        <f>'Liquidado  2002-11'!X33</f>
        <v>3795.8200000000006</v>
      </c>
      <c r="N17" s="376">
        <f>'Liquidado  2002-11'!Z33</f>
        <v>4977.8013185300006</v>
      </c>
      <c r="O17" s="376">
        <v>4977.8</v>
      </c>
    </row>
    <row r="18" spans="1:15">
      <c r="A18" s="377" t="s">
        <v>55</v>
      </c>
      <c r="B18" s="378">
        <f t="shared" ref="B18:O18" si="4">B16-B17</f>
        <v>22.449999999999932</v>
      </c>
      <c r="C18" s="378">
        <f t="shared" si="4"/>
        <v>8.5699999999999363</v>
      </c>
      <c r="D18" s="378">
        <f t="shared" si="4"/>
        <v>-77.649999999999864</v>
      </c>
      <c r="E18" s="378">
        <f t="shared" si="4"/>
        <v>-121.19317693999983</v>
      </c>
      <c r="F18" s="378">
        <f t="shared" si="4"/>
        <v>-16.960000000000036</v>
      </c>
      <c r="G18" s="378">
        <f t="shared" si="4"/>
        <v>440.02</v>
      </c>
      <c r="H18" s="378">
        <f t="shared" si="4"/>
        <v>-351.92000000000007</v>
      </c>
      <c r="I18" s="378">
        <f t="shared" si="4"/>
        <v>-3.0099999999997635</v>
      </c>
      <c r="J18" s="378">
        <f t="shared" si="4"/>
        <v>-252.34000000000015</v>
      </c>
      <c r="K18" s="378">
        <f t="shared" si="4"/>
        <v>-716.15000000000055</v>
      </c>
      <c r="L18" s="378">
        <f t="shared" si="4"/>
        <v>-740.75999999999976</v>
      </c>
      <c r="M18" s="378">
        <f t="shared" si="4"/>
        <v>-966.50000000000091</v>
      </c>
      <c r="N18" s="379">
        <f t="shared" si="4"/>
        <v>-1027.7023219300008</v>
      </c>
      <c r="O18" s="379">
        <f t="shared" si="4"/>
        <v>-1027.7200000000003</v>
      </c>
    </row>
    <row r="19" spans="1:15">
      <c r="A19" s="382" t="s">
        <v>56</v>
      </c>
      <c r="B19" s="388">
        <v>38.999999999999929</v>
      </c>
      <c r="C19" s="388">
        <v>24.739999999999938</v>
      </c>
      <c r="D19" s="388">
        <v>-59.929999999999865</v>
      </c>
      <c r="E19" s="388">
        <v>-100.67317693999983</v>
      </c>
      <c r="F19" s="388">
        <v>7.269999999999964</v>
      </c>
      <c r="G19" s="388">
        <v>466.91999999999996</v>
      </c>
      <c r="H19" s="388">
        <v>-319.48000000000008</v>
      </c>
      <c r="I19" s="388">
        <v>39.230000000000238</v>
      </c>
      <c r="J19" s="388">
        <v>-206.02000000000015</v>
      </c>
      <c r="K19" s="388">
        <v>-653.46000000000049</v>
      </c>
      <c r="L19" s="388">
        <f>L18+'Liquidado  2002-11'!V27</f>
        <v>-674.5999999999998</v>
      </c>
      <c r="M19" s="388">
        <f>M18+'Liquidado  2002-11'!X27</f>
        <v>-890.77000000000089</v>
      </c>
      <c r="N19" s="389">
        <f>N18+'Liquidado  2002-11'!Z27</f>
        <v>-803.92357800000082</v>
      </c>
      <c r="O19" s="389">
        <f>O18+'Liquidado  2002-11'!AB27</f>
        <v>-801.93000000000029</v>
      </c>
    </row>
    <row r="20" spans="1:15">
      <c r="B20" s="390"/>
      <c r="C20" s="390"/>
      <c r="D20" s="390"/>
    </row>
    <row r="21" spans="1:15">
      <c r="A21" s="369" t="s">
        <v>57</v>
      </c>
      <c r="B21" s="391">
        <v>66.930000000000007</v>
      </c>
      <c r="C21" s="391">
        <v>25.1</v>
      </c>
      <c r="D21" s="391">
        <v>21.729999999999997</v>
      </c>
      <c r="E21" s="391">
        <v>24.53</v>
      </c>
      <c r="F21" s="391">
        <v>30.42</v>
      </c>
      <c r="G21" s="391">
        <v>37.14</v>
      </c>
      <c r="H21" s="391">
        <v>74.710000000000008</v>
      </c>
      <c r="I21" s="391">
        <v>84.31</v>
      </c>
      <c r="J21" s="391">
        <v>88.39</v>
      </c>
      <c r="K21" s="391">
        <v>104.75999999999999</v>
      </c>
      <c r="L21" s="391">
        <f>'Liquidado  2002-11'!V27+'Liquidado  2002-11'!V36</f>
        <v>146.07</v>
      </c>
      <c r="M21" s="391">
        <f>'Liquidado  2002-11'!X27+'Liquidado  2002-11'!X36</f>
        <v>144.98000000000002</v>
      </c>
      <c r="N21" s="391">
        <f>'Liquidado  2002-11'!Z27+'Liquidado  2002-11'!Z36</f>
        <v>704.67660726000008</v>
      </c>
      <c r="O21" s="391">
        <f>'Liquidado  2002-11'!AB27+'Liquidado  2002-11'!AB36</f>
        <v>711.24</v>
      </c>
    </row>
    <row r="25" spans="1:15">
      <c r="M25" s="391"/>
    </row>
  </sheetData>
  <mergeCells count="1">
    <mergeCell ref="A1:N2"/>
  </mergeCells>
  <printOptions horizontalCentered="1" verticalCentered="1"/>
  <pageMargins left="0.75" right="0.75" top="1" bottom="1" header="0" footer="0"/>
  <pageSetup paperSize="9" scale="86" orientation="landscape" horizontalDpi="4294967292"/>
  <headerFooter alignWithMargins="0"/>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AC40"/>
  <sheetViews>
    <sheetView showGridLines="0" topLeftCell="Q1" workbookViewId="0">
      <selection activeCell="AB13" sqref="AB13"/>
    </sheetView>
  </sheetViews>
  <sheetFormatPr baseColWidth="10" defaultColWidth="11.375" defaultRowHeight="13.6"/>
  <cols>
    <col min="1" max="1" width="32.375" style="269" customWidth="1"/>
    <col min="2" max="2" width="9.75" style="367" hidden="1" customWidth="1"/>
    <col min="3" max="3" width="9.125" style="313" hidden="1" customWidth="1"/>
    <col min="4" max="4" width="9.75" style="367" hidden="1" customWidth="1"/>
    <col min="5" max="5" width="9.125" style="313" hidden="1" customWidth="1"/>
    <col min="6" max="6" width="9.75" style="367" hidden="1" customWidth="1"/>
    <col min="7" max="7" width="9.125" style="313" hidden="1" customWidth="1"/>
    <col min="8" max="8" width="9.75" style="313" hidden="1" customWidth="1"/>
    <col min="9" max="9" width="9.125" style="313" hidden="1" customWidth="1"/>
    <col min="10" max="10" width="9.75" style="313" customWidth="1"/>
    <col min="11" max="11" width="9.125" style="313" bestFit="1" customWidth="1"/>
    <col min="12" max="12" width="9.75" style="313" customWidth="1"/>
    <col min="13" max="13" width="9.125" style="313" bestFit="1" customWidth="1"/>
    <col min="14" max="14" width="9.75" style="313" customWidth="1"/>
    <col min="15" max="15" width="9.125" style="313" bestFit="1" customWidth="1"/>
    <col min="16" max="16" width="9.75" style="313" customWidth="1"/>
    <col min="17" max="17" width="9.125" style="313" bestFit="1" customWidth="1"/>
    <col min="18" max="18" width="9.75" style="313" customWidth="1"/>
    <col min="19" max="19" width="9.125" style="313" bestFit="1" customWidth="1"/>
    <col min="20" max="20" width="9.75" style="313" customWidth="1"/>
    <col min="21" max="21" width="9.125" style="313" bestFit="1" customWidth="1"/>
    <col min="22" max="22" width="9.75" style="269" customWidth="1"/>
    <col min="23" max="23" width="9.125" style="269" customWidth="1"/>
    <col min="24" max="27" width="11.375" style="269"/>
    <col min="28" max="28" width="16" style="269" customWidth="1"/>
    <col min="29" max="16384" width="11.375" style="269"/>
  </cols>
  <sheetData>
    <row r="1" spans="1:29" ht="18.350000000000001">
      <c r="A1" s="268"/>
      <c r="B1" s="614" t="s">
        <v>58</v>
      </c>
      <c r="C1" s="614"/>
      <c r="D1" s="614"/>
      <c r="E1" s="614"/>
      <c r="F1" s="614"/>
      <c r="G1" s="614"/>
      <c r="H1" s="614"/>
      <c r="I1" s="614"/>
      <c r="J1" s="614"/>
      <c r="K1" s="614"/>
      <c r="L1" s="614"/>
      <c r="M1" s="614"/>
      <c r="N1" s="614"/>
      <c r="O1" s="614"/>
      <c r="P1" s="614"/>
      <c r="Q1" s="614"/>
      <c r="R1" s="614"/>
      <c r="S1" s="614"/>
      <c r="T1" s="614"/>
      <c r="U1" s="614"/>
      <c r="V1" s="614"/>
      <c r="W1" s="614"/>
      <c r="X1" s="614"/>
      <c r="Y1" s="614"/>
      <c r="Z1" s="614"/>
      <c r="AA1" s="614"/>
    </row>
    <row r="2" spans="1:29" ht="15.65">
      <c r="A2" s="270"/>
      <c r="B2" s="615" t="s">
        <v>59</v>
      </c>
      <c r="C2" s="615"/>
      <c r="D2" s="615"/>
      <c r="E2" s="615"/>
      <c r="F2" s="615"/>
      <c r="G2" s="615"/>
      <c r="H2" s="615"/>
      <c r="I2" s="615"/>
      <c r="J2" s="615"/>
      <c r="K2" s="615"/>
      <c r="L2" s="615"/>
      <c r="M2" s="615"/>
      <c r="N2" s="615"/>
      <c r="O2" s="615"/>
      <c r="P2" s="615"/>
      <c r="Q2" s="615"/>
      <c r="R2" s="615"/>
      <c r="S2" s="615"/>
      <c r="T2" s="615"/>
      <c r="U2" s="615"/>
      <c r="V2" s="615"/>
      <c r="W2" s="615"/>
      <c r="X2" s="615"/>
      <c r="Y2" s="615"/>
      <c r="Z2" s="615"/>
      <c r="AA2" s="615"/>
    </row>
    <row r="3" spans="1:29">
      <c r="A3" s="162" t="s">
        <v>6</v>
      </c>
    </row>
    <row r="4" spans="1:29" ht="14.3">
      <c r="A4" s="271" t="s">
        <v>22</v>
      </c>
      <c r="B4" s="272">
        <v>1999</v>
      </c>
      <c r="C4" s="273" t="s">
        <v>23</v>
      </c>
      <c r="D4" s="272">
        <v>2000</v>
      </c>
      <c r="E4" s="273" t="s">
        <v>23</v>
      </c>
      <c r="F4" s="272">
        <v>2001</v>
      </c>
      <c r="G4" s="273" t="s">
        <v>23</v>
      </c>
      <c r="H4" s="274">
        <v>2002</v>
      </c>
      <c r="I4" s="275" t="s">
        <v>23</v>
      </c>
      <c r="J4" s="274">
        <v>2003</v>
      </c>
      <c r="K4" s="275" t="s">
        <v>23</v>
      </c>
      <c r="L4" s="274">
        <v>2004</v>
      </c>
      <c r="M4" s="275" t="s">
        <v>23</v>
      </c>
      <c r="N4" s="274">
        <v>2005</v>
      </c>
      <c r="O4" s="275" t="s">
        <v>23</v>
      </c>
      <c r="P4" s="274">
        <v>2006</v>
      </c>
      <c r="Q4" s="275" t="s">
        <v>23</v>
      </c>
      <c r="R4" s="276">
        <v>2007</v>
      </c>
      <c r="S4" s="275" t="s">
        <v>23</v>
      </c>
      <c r="T4" s="277">
        <v>2008</v>
      </c>
      <c r="U4" s="278" t="s">
        <v>23</v>
      </c>
      <c r="V4" s="277">
        <v>2009</v>
      </c>
      <c r="W4" s="278" t="s">
        <v>23</v>
      </c>
      <c r="X4" s="277">
        <v>2010</v>
      </c>
      <c r="Y4" s="278" t="s">
        <v>23</v>
      </c>
      <c r="Z4" s="277">
        <v>2011</v>
      </c>
      <c r="AA4" s="278" t="s">
        <v>23</v>
      </c>
      <c r="AB4" s="277">
        <v>2012</v>
      </c>
      <c r="AC4" s="278" t="s">
        <v>23</v>
      </c>
    </row>
    <row r="5" spans="1:29">
      <c r="A5" s="279" t="s">
        <v>24</v>
      </c>
      <c r="B5" s="280">
        <v>334.99</v>
      </c>
      <c r="C5" s="281">
        <f t="shared" ref="C5:C14" si="0">B5/$B$14</f>
        <v>0.39436569975513286</v>
      </c>
      <c r="D5" s="280">
        <v>342.57</v>
      </c>
      <c r="E5" s="281">
        <f t="shared" ref="E5:E14" si="1">D5/$D$14</f>
        <v>0.36632625781960115</v>
      </c>
      <c r="F5" s="280">
        <v>322</v>
      </c>
      <c r="G5" s="282">
        <f t="shared" ref="G5:G14" si="2">F5/$F$14</f>
        <v>0.34947578632051918</v>
      </c>
      <c r="H5" s="283">
        <v>400.55</v>
      </c>
      <c r="I5" s="284">
        <f>H5/$H$14</f>
        <v>0.21556075559073226</v>
      </c>
      <c r="J5" s="283">
        <v>422.68</v>
      </c>
      <c r="K5" s="284">
        <f>J5/$J$14</f>
        <v>0.20064844747622917</v>
      </c>
      <c r="L5" s="283">
        <v>518.12</v>
      </c>
      <c r="M5" s="284">
        <f>L5/$L$14</f>
        <v>0.18884057601259618</v>
      </c>
      <c r="N5" s="283">
        <v>558.59</v>
      </c>
      <c r="O5" s="284">
        <f>N5/$N$14</f>
        <v>0.21875208045333322</v>
      </c>
      <c r="P5" s="283">
        <v>627.52</v>
      </c>
      <c r="Q5" s="284">
        <f>P5/$P$14</f>
        <v>0.21553077269183343</v>
      </c>
      <c r="R5" s="285">
        <v>700.37</v>
      </c>
      <c r="S5" s="286">
        <f>R5/$R$14</f>
        <v>0.23250957765369065</v>
      </c>
      <c r="T5" s="285">
        <v>778.91</v>
      </c>
      <c r="U5" s="287">
        <f>T5/$T$14</f>
        <v>0.27081124118197208</v>
      </c>
      <c r="V5" s="285">
        <f>'DRETS RECONEGUTS CAIB'!L10</f>
        <v>842</v>
      </c>
      <c r="W5" s="287">
        <f>V5/$V$14</f>
        <v>0.26813151819122683</v>
      </c>
      <c r="X5" s="319">
        <f>'DRETS RECONEGUTS CAIB'!M10</f>
        <v>717.37</v>
      </c>
      <c r="Y5" s="287">
        <f>X5/$X$14</f>
        <v>0.25354855583673819</v>
      </c>
      <c r="Z5" s="319">
        <f>'DRETS RECONEGUTS CAIB'!N10</f>
        <v>1095.64971657</v>
      </c>
      <c r="AA5" s="287">
        <f>Z5/$Z$14</f>
        <v>0.27737272344644204</v>
      </c>
      <c r="AB5" s="319">
        <f>'DRETS RECONEGUTS CAIB'!O10</f>
        <v>837.14</v>
      </c>
      <c r="AC5" s="287">
        <f>AB5/$Z$14</f>
        <v>0.21192886576274625</v>
      </c>
    </row>
    <row r="6" spans="1:29">
      <c r="A6" s="279" t="s">
        <v>25</v>
      </c>
      <c r="B6" s="280">
        <v>224.02</v>
      </c>
      <c r="C6" s="281">
        <f t="shared" si="0"/>
        <v>0.26372669052552272</v>
      </c>
      <c r="D6" s="280">
        <v>261.42</v>
      </c>
      <c r="E6" s="281">
        <f t="shared" si="1"/>
        <v>0.27954873549697912</v>
      </c>
      <c r="F6" s="280">
        <v>258.12</v>
      </c>
      <c r="G6" s="282">
        <f t="shared" si="2"/>
        <v>0.28014499989146713</v>
      </c>
      <c r="H6" s="280">
        <v>1267.6600000000001</v>
      </c>
      <c r="I6" s="288">
        <f>H6/$H$14</f>
        <v>0.68220633486992299</v>
      </c>
      <c r="J6" s="280">
        <v>1417</v>
      </c>
      <c r="K6" s="288">
        <f>J6/$J$14</f>
        <v>0.67265744788922288</v>
      </c>
      <c r="L6" s="280">
        <v>1424.71</v>
      </c>
      <c r="M6" s="288">
        <f>L6/$L$14</f>
        <v>0.51926784731511211</v>
      </c>
      <c r="N6" s="280">
        <v>1745.45</v>
      </c>
      <c r="O6" s="288">
        <f>N6/$N$14</f>
        <v>0.68354395679706126</v>
      </c>
      <c r="P6" s="280">
        <v>1972.49</v>
      </c>
      <c r="Q6" s="288">
        <f>P6/$P$14</f>
        <v>0.67748007047889236</v>
      </c>
      <c r="R6" s="289">
        <v>2005.79</v>
      </c>
      <c r="S6" s="290">
        <f t="shared" ref="S6:S12" si="3">R6/$R$14</f>
        <v>0.66588429795964443</v>
      </c>
      <c r="T6" s="289">
        <v>1774.45</v>
      </c>
      <c r="U6" s="291">
        <f t="shared" ref="U6:U13" si="4">T6/$T$14</f>
        <v>0.61694034858372648</v>
      </c>
      <c r="V6" s="289">
        <f>'DRETS RECONEGUTS CAIB'!L11</f>
        <v>1448.1</v>
      </c>
      <c r="W6" s="291">
        <f t="shared" ref="W6:W12" si="5">V6/$V$14</f>
        <v>0.46114162885120608</v>
      </c>
      <c r="X6" s="292">
        <f>'DRETS RECONEGUTS CAIB'!M11</f>
        <v>1190.3800000000001</v>
      </c>
      <c r="Y6" s="291">
        <f>X6/$X$14</f>
        <v>0.42073006941597285</v>
      </c>
      <c r="Z6" s="292">
        <f>'DRETS RECONEGUTS CAIB'!N11</f>
        <v>2190.3346397</v>
      </c>
      <c r="AA6" s="291">
        <f>Z6/$Z$14</f>
        <v>0.55450120151046955</v>
      </c>
      <c r="AB6" s="319">
        <f>'DRETS RECONEGUTS CAIB'!O11</f>
        <v>1786.22</v>
      </c>
      <c r="AC6" s="291">
        <f>AB6/$Z$14</f>
        <v>0.45219626179937955</v>
      </c>
    </row>
    <row r="7" spans="1:29">
      <c r="A7" s="279" t="s">
        <v>26</v>
      </c>
      <c r="B7" s="280">
        <v>70.59</v>
      </c>
      <c r="C7" s="281">
        <f t="shared" si="0"/>
        <v>8.3101808250141282E-2</v>
      </c>
      <c r="D7" s="280">
        <v>79.099999999999994</v>
      </c>
      <c r="E7" s="281">
        <f t="shared" si="1"/>
        <v>8.4585360637330909E-2</v>
      </c>
      <c r="F7" s="280">
        <v>81.33</v>
      </c>
      <c r="G7" s="282">
        <f t="shared" si="2"/>
        <v>8.8269769259154737E-2</v>
      </c>
      <c r="H7" s="280">
        <v>86.79</v>
      </c>
      <c r="I7" s="288">
        <f>H7/$H$14</f>
        <v>4.6707072719310079E-2</v>
      </c>
      <c r="J7" s="280">
        <v>88.05</v>
      </c>
      <c r="K7" s="288">
        <f>J7/$J$14</f>
        <v>4.1797804013158836E-2</v>
      </c>
      <c r="L7" s="280">
        <v>88.06</v>
      </c>
      <c r="M7" s="288">
        <f>L7/$L$14</f>
        <v>3.2095462679821697E-2</v>
      </c>
      <c r="N7" s="280">
        <v>97.81</v>
      </c>
      <c r="O7" s="288">
        <f>N7/$N$14</f>
        <v>3.8303838216116513E-2</v>
      </c>
      <c r="P7" s="280">
        <v>100.32</v>
      </c>
      <c r="Q7" s="288">
        <f>P7/$P$14</f>
        <v>3.4456347393620489E-2</v>
      </c>
      <c r="R7" s="289">
        <v>94.29</v>
      </c>
      <c r="S7" s="290">
        <f t="shared" si="3"/>
        <v>3.1302494505713395E-2</v>
      </c>
      <c r="T7" s="289">
        <v>90.66</v>
      </c>
      <c r="U7" s="291">
        <f t="shared" si="4"/>
        <v>3.1520646962495784E-2</v>
      </c>
      <c r="V7" s="289">
        <f>'DRETS RECONEGUTS CAIB'!L12</f>
        <v>88.05</v>
      </c>
      <c r="W7" s="291">
        <f t="shared" si="5"/>
        <v>2.8039168855982802E-2</v>
      </c>
      <c r="X7" s="292">
        <f>'DRETS RECONEGUTS CAIB'!M12</f>
        <v>124.43</v>
      </c>
      <c r="Y7" s="291">
        <f>X7/$X$14</f>
        <v>4.39787652156702E-2</v>
      </c>
      <c r="Z7" s="292">
        <f>'DRETS RECONEGUTS CAIB'!N12</f>
        <v>82.153092459999996</v>
      </c>
      <c r="AA7" s="291">
        <f>Z7/$Z$14</f>
        <v>2.0797730014035669E-2</v>
      </c>
      <c r="AB7" s="319">
        <f>'DRETS RECONEGUTS CAIB'!O12</f>
        <v>86.63</v>
      </c>
      <c r="AC7" s="291">
        <f>AB7/$Z$14</f>
        <v>2.1931095923055529E-2</v>
      </c>
    </row>
    <row r="8" spans="1:29">
      <c r="A8" s="279" t="s">
        <v>27</v>
      </c>
      <c r="B8" s="280">
        <v>164.27</v>
      </c>
      <c r="C8" s="281">
        <f t="shared" si="0"/>
        <v>0.19338623092861182</v>
      </c>
      <c r="D8" s="280">
        <v>187.91</v>
      </c>
      <c r="E8" s="281">
        <f t="shared" si="1"/>
        <v>0.20094102550392987</v>
      </c>
      <c r="F8" s="280">
        <v>195.72</v>
      </c>
      <c r="G8" s="282">
        <f t="shared" si="2"/>
        <v>0.2124204996852547</v>
      </c>
      <c r="H8" s="280">
        <v>50.15</v>
      </c>
      <c r="I8" s="288">
        <f>H8/$H$14</f>
        <v>2.6988820104544307E-2</v>
      </c>
      <c r="J8" s="280">
        <v>114.54</v>
      </c>
      <c r="K8" s="288">
        <f>J8/$J$14</f>
        <v>5.4372748116606626E-2</v>
      </c>
      <c r="L8" s="280">
        <v>646.32000000000005</v>
      </c>
      <c r="M8" s="288">
        <f>L8/$L$14</f>
        <v>0.23556597137431709</v>
      </c>
      <c r="N8" s="280">
        <v>86.69</v>
      </c>
      <c r="O8" s="288">
        <f>N8/$N$14</f>
        <v>3.3949082250844906E-2</v>
      </c>
      <c r="P8" s="292">
        <v>161.75</v>
      </c>
      <c r="Q8" s="288">
        <f>P8/$P$14</f>
        <v>5.5555364742006723E-2</v>
      </c>
      <c r="R8" s="289">
        <v>165.69</v>
      </c>
      <c r="S8" s="290">
        <f t="shared" si="3"/>
        <v>5.5005942461042026E-2</v>
      </c>
      <c r="T8" s="289">
        <v>169.99</v>
      </c>
      <c r="U8" s="291">
        <f t="shared" si="4"/>
        <v>5.9102082254077419E-2</v>
      </c>
      <c r="V8" s="289">
        <f>'DRETS RECONEGUTS CAIB'!L13</f>
        <v>594.52</v>
      </c>
      <c r="W8" s="291">
        <f t="shared" si="5"/>
        <v>0.18932250616989094</v>
      </c>
      <c r="X8" s="292">
        <f>'DRETS RECONEGUTS CAIB'!M13</f>
        <v>651.76</v>
      </c>
      <c r="Y8" s="291">
        <f>X8/$X$14</f>
        <v>0.23035923826219729</v>
      </c>
      <c r="Z8" s="292">
        <f>'DRETS RECONEGUTS CAIB'!N13</f>
        <v>537.94000000000005</v>
      </c>
      <c r="AA8" s="291">
        <f>Z8/$Z$14</f>
        <v>0.13618392867192075</v>
      </c>
      <c r="AB8" s="319">
        <f>'DRETS RECONEGUTS CAIB'!O13</f>
        <v>-32.04</v>
      </c>
      <c r="AC8" s="291">
        <f>AB8/$Z$14</f>
        <v>-8.1111891189507013E-3</v>
      </c>
    </row>
    <row r="9" spans="1:29">
      <c r="A9" s="279" t="s">
        <v>28</v>
      </c>
      <c r="B9" s="280">
        <v>2.4300000000000002</v>
      </c>
      <c r="C9" s="281">
        <f t="shared" si="0"/>
        <v>2.8607082313053308E-3</v>
      </c>
      <c r="D9" s="280">
        <v>2.73</v>
      </c>
      <c r="E9" s="281">
        <f t="shared" si="1"/>
        <v>2.9193177565096508E-3</v>
      </c>
      <c r="F9" s="280">
        <v>2.4</v>
      </c>
      <c r="G9" s="282">
        <f t="shared" si="2"/>
        <v>2.6047884694697081E-3</v>
      </c>
      <c r="H9" s="293">
        <v>2.79</v>
      </c>
      <c r="I9" s="294">
        <f>H9/$H$14</f>
        <v>1.501471746593791E-3</v>
      </c>
      <c r="J9" s="293">
        <v>2.34</v>
      </c>
      <c r="K9" s="294">
        <f>J9/$J$14</f>
        <v>1.1108104644042211E-3</v>
      </c>
      <c r="L9" s="293">
        <v>1.67</v>
      </c>
      <c r="M9" s="294">
        <f>L9/$L$14</f>
        <v>6.086693467556466E-4</v>
      </c>
      <c r="N9" s="293">
        <v>1.28</v>
      </c>
      <c r="O9" s="294">
        <f>N9/$N$14</f>
        <v>5.0126687370032855E-4</v>
      </c>
      <c r="P9" s="293">
        <v>2.87</v>
      </c>
      <c r="Q9" s="294">
        <f>P9/$P$14</f>
        <v>9.8574279325848099E-4</v>
      </c>
      <c r="R9" s="295">
        <v>3.73</v>
      </c>
      <c r="S9" s="296">
        <f t="shared" si="3"/>
        <v>1.2382893679744509E-3</v>
      </c>
      <c r="T9" s="295">
        <v>2.2200000000000002</v>
      </c>
      <c r="U9" s="297">
        <f t="shared" si="4"/>
        <v>7.7184906526296768E-4</v>
      </c>
      <c r="V9" s="295">
        <f>'DRETS RECONEGUTS CAIB'!L14</f>
        <v>0.37</v>
      </c>
      <c r="W9" s="297">
        <f t="shared" si="5"/>
        <v>1.1782501393201179E-4</v>
      </c>
      <c r="X9" s="327">
        <f>'DRETS RECONEGUTS CAIB'!M14</f>
        <v>0.22</v>
      </c>
      <c r="Y9" s="297">
        <f>X9/$X$14</f>
        <v>7.7757199609800241E-5</v>
      </c>
      <c r="Z9" s="327">
        <f>'DRETS RECONEGUTS CAIB'!N14</f>
        <v>0.17340849999999999</v>
      </c>
      <c r="AA9" s="297">
        <f>Z9/$Z$14</f>
        <v>4.3899785840623051E-5</v>
      </c>
      <c r="AB9" s="319">
        <f>'DRETS RECONEGUTS CAIB'!O14</f>
        <v>3.29</v>
      </c>
      <c r="AC9" s="297">
        <f>AB9/$Z$14</f>
        <v>8.3289051814443836E-4</v>
      </c>
    </row>
    <row r="10" spans="1:29" ht="14.3">
      <c r="A10" s="298" t="s">
        <v>29</v>
      </c>
      <c r="B10" s="299">
        <f>SUM(B5:B9)</f>
        <v>796.3</v>
      </c>
      <c r="C10" s="300">
        <f t="shared" si="0"/>
        <v>0.93744113769071391</v>
      </c>
      <c r="D10" s="299">
        <f>SUM(D5:D9)</f>
        <v>873.73</v>
      </c>
      <c r="E10" s="300">
        <f t="shared" si="1"/>
        <v>0.93432069721435063</v>
      </c>
      <c r="F10" s="299">
        <f>SUM(F5:F9)</f>
        <v>859.57</v>
      </c>
      <c r="G10" s="300">
        <f t="shared" si="2"/>
        <v>0.93291584362586555</v>
      </c>
      <c r="H10" s="301">
        <f t="shared" ref="H10:Q10" si="6">SUM(H5:H9)</f>
        <v>1807.94</v>
      </c>
      <c r="I10" s="302">
        <f t="shared" si="6"/>
        <v>0.9729644550311034</v>
      </c>
      <c r="J10" s="301">
        <f t="shared" si="6"/>
        <v>2044.61</v>
      </c>
      <c r="K10" s="302">
        <f t="shared" si="6"/>
        <v>0.97058725795962164</v>
      </c>
      <c r="L10" s="301">
        <f t="shared" si="6"/>
        <v>2678.88</v>
      </c>
      <c r="M10" s="302">
        <f t="shared" si="6"/>
        <v>0.9763785267286027</v>
      </c>
      <c r="N10" s="301">
        <f t="shared" si="6"/>
        <v>2489.8200000000002</v>
      </c>
      <c r="O10" s="302">
        <f t="shared" si="6"/>
        <v>0.97505022459105628</v>
      </c>
      <c r="P10" s="301">
        <f t="shared" si="6"/>
        <v>2864.9500000000003</v>
      </c>
      <c r="Q10" s="302">
        <f t="shared" si="6"/>
        <v>0.98400829809961143</v>
      </c>
      <c r="R10" s="303">
        <f t="shared" ref="R10:W10" si="7">SUM(R5:R9)</f>
        <v>2969.87</v>
      </c>
      <c r="S10" s="304">
        <f t="shared" si="7"/>
        <v>0.98594060194806499</v>
      </c>
      <c r="T10" s="303">
        <f t="shared" si="7"/>
        <v>2816.23</v>
      </c>
      <c r="U10" s="351">
        <f t="shared" si="7"/>
        <v>0.97914616804753474</v>
      </c>
      <c r="V10" s="303">
        <f t="shared" si="7"/>
        <v>2973.04</v>
      </c>
      <c r="W10" s="307">
        <f t="shared" si="7"/>
        <v>0.94675264708223872</v>
      </c>
      <c r="X10" s="303">
        <f t="shared" ref="X10:AC10" si="8">SUM(X5:X9)</f>
        <v>2684.16</v>
      </c>
      <c r="Y10" s="307">
        <f t="shared" si="8"/>
        <v>0.9486943859301884</v>
      </c>
      <c r="Z10" s="303">
        <f t="shared" si="8"/>
        <v>3906.2508572299998</v>
      </c>
      <c r="AA10" s="307">
        <f t="shared" si="8"/>
        <v>0.98889948342870859</v>
      </c>
      <c r="AB10" s="439">
        <f t="shared" si="8"/>
        <v>2681.2400000000002</v>
      </c>
      <c r="AC10" s="307">
        <f t="shared" si="8"/>
        <v>0.67877792488437505</v>
      </c>
    </row>
    <row r="11" spans="1:29" ht="22.6" customHeight="1">
      <c r="A11" s="279" t="s">
        <v>30</v>
      </c>
      <c r="B11" s="280">
        <v>0.19</v>
      </c>
      <c r="C11" s="281">
        <f t="shared" si="0"/>
        <v>2.2367677528724807E-4</v>
      </c>
      <c r="D11" s="280">
        <v>0.24</v>
      </c>
      <c r="E11" s="281">
        <f t="shared" si="1"/>
        <v>2.566433192535957E-4</v>
      </c>
      <c r="F11" s="280">
        <v>7.0000000000000007E-2</v>
      </c>
      <c r="G11" s="282">
        <f t="shared" si="2"/>
        <v>7.5972997026199824E-5</v>
      </c>
      <c r="H11" s="283">
        <v>0.06</v>
      </c>
      <c r="I11" s="284">
        <f>H11/$H$14</f>
        <v>3.2289714980511633E-5</v>
      </c>
      <c r="J11" s="283">
        <v>0.11</v>
      </c>
      <c r="K11" s="284">
        <f>J11/$J$14</f>
        <v>5.2217585933531767E-5</v>
      </c>
      <c r="L11" s="283">
        <v>0.17</v>
      </c>
      <c r="M11" s="284">
        <f>L11/$L$14</f>
        <v>6.1960352663748461E-5</v>
      </c>
      <c r="N11" s="283">
        <v>0.95</v>
      </c>
      <c r="O11" s="284">
        <f>N11/$N$14</f>
        <v>3.7203400782446258E-4</v>
      </c>
      <c r="P11" s="283">
        <v>1.96</v>
      </c>
      <c r="Q11" s="284">
        <f>P11/$P$14</f>
        <v>6.7319020027408448E-4</v>
      </c>
      <c r="R11" s="285">
        <v>0.12</v>
      </c>
      <c r="S11" s="286">
        <f t="shared" si="3"/>
        <v>3.9837727656014502E-5</v>
      </c>
      <c r="T11" s="285">
        <v>0.01</v>
      </c>
      <c r="U11" s="286">
        <f t="shared" si="4"/>
        <v>3.476797591274629E-6</v>
      </c>
      <c r="V11" s="285">
        <f>'DRETS RECONEGUTS CAIB'!L15</f>
        <v>0.01</v>
      </c>
      <c r="W11" s="287">
        <f>V11/$V$14</f>
        <v>3.1844598360003187E-6</v>
      </c>
      <c r="X11" s="319">
        <f>'DRETS RECONEGUTS CAIB'!M15</f>
        <v>10</v>
      </c>
      <c r="Y11" s="287">
        <f>X11/$X$14</f>
        <v>3.5344181640818294E-3</v>
      </c>
      <c r="Z11" s="319">
        <f>'DRETS RECONEGUTS CAIB'!N15</f>
        <v>1.644555</v>
      </c>
      <c r="AA11" s="287">
        <f>Z11/$Z$14</f>
        <v>4.1633260366778931E-4</v>
      </c>
      <c r="AB11" s="319">
        <f>'DRETS RECONEGUTS CAIB'!O15</f>
        <v>0.72</v>
      </c>
      <c r="AC11" s="287">
        <f>AB11/$Z$14</f>
        <v>1.8227391278540899E-4</v>
      </c>
    </row>
    <row r="12" spans="1:29">
      <c r="A12" s="279" t="s">
        <v>31</v>
      </c>
      <c r="B12" s="280">
        <v>52.95</v>
      </c>
      <c r="C12" s="281">
        <f t="shared" si="0"/>
        <v>6.2335185533998874E-2</v>
      </c>
      <c r="D12" s="280">
        <v>61.18</v>
      </c>
      <c r="E12" s="281">
        <f t="shared" si="1"/>
        <v>6.5422659466395763E-2</v>
      </c>
      <c r="F12" s="280">
        <v>61.74</v>
      </c>
      <c r="G12" s="282">
        <f t="shared" si="2"/>
        <v>6.7008183377108246E-2</v>
      </c>
      <c r="H12" s="293">
        <v>50.176823060000004</v>
      </c>
      <c r="I12" s="294">
        <f>H12/$H$14</f>
        <v>2.7003255253916062E-2</v>
      </c>
      <c r="J12" s="293">
        <v>61.85</v>
      </c>
      <c r="K12" s="294">
        <f>J12/$J$14</f>
        <v>2.9360524454444908E-2</v>
      </c>
      <c r="L12" s="293">
        <v>64.64</v>
      </c>
      <c r="M12" s="294">
        <f>L12/$L$14</f>
        <v>2.3559512918733531E-2</v>
      </c>
      <c r="N12" s="293">
        <v>62.76</v>
      </c>
      <c r="O12" s="294">
        <f>N12/$N$14</f>
        <v>2.4577741401119232E-2</v>
      </c>
      <c r="P12" s="293">
        <v>44.6</v>
      </c>
      <c r="Q12" s="294">
        <f>P12/$P$14</f>
        <v>1.5318511700114373E-2</v>
      </c>
      <c r="R12" s="295">
        <v>42.23</v>
      </c>
      <c r="S12" s="296">
        <f t="shared" si="3"/>
        <v>1.4019560324279102E-2</v>
      </c>
      <c r="T12" s="295">
        <v>59.97</v>
      </c>
      <c r="U12" s="296">
        <f t="shared" si="4"/>
        <v>2.0850355154873948E-2</v>
      </c>
      <c r="V12" s="295">
        <f>'DRETS RECONEGUTS CAIB'!L16</f>
        <v>167.2</v>
      </c>
      <c r="W12" s="297">
        <f t="shared" si="5"/>
        <v>5.3244168457925324E-2</v>
      </c>
      <c r="X12" s="327">
        <f>'DRETS RECONEGUTS CAIB'!M16</f>
        <v>135.16</v>
      </c>
      <c r="Y12" s="297">
        <f>X12/$X$14</f>
        <v>4.777119590573E-2</v>
      </c>
      <c r="Z12" s="327">
        <f>'DRETS RECONEGUTS CAIB'!N16</f>
        <v>42.203584369999994</v>
      </c>
      <c r="AA12" s="297">
        <f>Z12/$Z$14</f>
        <v>1.0684183967623653E-2</v>
      </c>
      <c r="AB12" s="319">
        <f>'DRETS RECONEGUTS CAIB'!O16</f>
        <v>38.090000000000003</v>
      </c>
      <c r="AC12" s="297">
        <f>AB12/$Z$14</f>
        <v>9.6427963027725418E-3</v>
      </c>
    </row>
    <row r="13" spans="1:29" ht="14.3">
      <c r="A13" s="298" t="s">
        <v>32</v>
      </c>
      <c r="B13" s="299">
        <f>SUM(B11:B12)</f>
        <v>53.14</v>
      </c>
      <c r="C13" s="300">
        <f t="shared" si="0"/>
        <v>6.2558862309286117E-2</v>
      </c>
      <c r="D13" s="299">
        <f>SUM(D11:D12)</f>
        <v>61.42</v>
      </c>
      <c r="E13" s="300">
        <f t="shared" si="1"/>
        <v>6.567930278564936E-2</v>
      </c>
      <c r="F13" s="299">
        <f>SUM(F11:F12)</f>
        <v>61.81</v>
      </c>
      <c r="G13" s="300">
        <f t="shared" si="2"/>
        <v>6.7084156374134452E-2</v>
      </c>
      <c r="H13" s="305">
        <f t="shared" ref="H13:Q13" si="9">SUM(H11:H12)</f>
        <v>50.236823060000006</v>
      </c>
      <c r="I13" s="302">
        <f t="shared" si="9"/>
        <v>2.7035544968896572E-2</v>
      </c>
      <c r="J13" s="305">
        <f t="shared" si="9"/>
        <v>61.96</v>
      </c>
      <c r="K13" s="302">
        <f t="shared" si="9"/>
        <v>2.9412742040378439E-2</v>
      </c>
      <c r="L13" s="305">
        <f t="shared" si="9"/>
        <v>64.81</v>
      </c>
      <c r="M13" s="302">
        <f t="shared" si="9"/>
        <v>2.362147327139728E-2</v>
      </c>
      <c r="N13" s="305">
        <f t="shared" si="9"/>
        <v>63.71</v>
      </c>
      <c r="O13" s="302">
        <f t="shared" si="9"/>
        <v>2.4949775408943695E-2</v>
      </c>
      <c r="P13" s="305">
        <f t="shared" si="9"/>
        <v>46.56</v>
      </c>
      <c r="Q13" s="302">
        <f t="shared" si="9"/>
        <v>1.5991701900388459E-2</v>
      </c>
      <c r="R13" s="306">
        <f>SUM(R11:R12)</f>
        <v>42.349999999999994</v>
      </c>
      <c r="S13" s="307">
        <f>SUM(S11:S12)</f>
        <v>1.4059398051935117E-2</v>
      </c>
      <c r="T13" s="306">
        <f>SUM(T11:T12)</f>
        <v>59.98</v>
      </c>
      <c r="U13" s="351">
        <f t="shared" si="4"/>
        <v>2.0853831952465221E-2</v>
      </c>
      <c r="V13" s="308">
        <f t="shared" ref="V13:AA13" si="10">SUM(V11:V12)</f>
        <v>167.20999999999998</v>
      </c>
      <c r="W13" s="302">
        <f t="shared" si="10"/>
        <v>5.3247352917761323E-2</v>
      </c>
      <c r="X13" s="308">
        <f t="shared" si="10"/>
        <v>145.16</v>
      </c>
      <c r="Y13" s="302">
        <f t="shared" si="10"/>
        <v>5.1305614069811829E-2</v>
      </c>
      <c r="Z13" s="308">
        <f t="shared" si="10"/>
        <v>43.848139369999991</v>
      </c>
      <c r="AA13" s="302">
        <f t="shared" si="10"/>
        <v>1.1100516571291442E-2</v>
      </c>
      <c r="AB13" s="308">
        <f>SUM(AB11:AB12)</f>
        <v>38.81</v>
      </c>
      <c r="AC13" s="302">
        <f>SUM(AC11:AC12)</f>
        <v>9.8250702155579499E-3</v>
      </c>
    </row>
    <row r="14" spans="1:29" ht="14.3">
      <c r="A14" s="298" t="s">
        <v>33</v>
      </c>
      <c r="B14" s="299">
        <f>SUM(B10,B13)</f>
        <v>849.43999999999994</v>
      </c>
      <c r="C14" s="300">
        <f t="shared" si="0"/>
        <v>1</v>
      </c>
      <c r="D14" s="299">
        <f>SUM(D10,D13)</f>
        <v>935.15</v>
      </c>
      <c r="E14" s="300">
        <f t="shared" si="1"/>
        <v>1</v>
      </c>
      <c r="F14" s="299">
        <f>SUM(F10,F13)</f>
        <v>921.38000000000011</v>
      </c>
      <c r="G14" s="300">
        <f t="shared" si="2"/>
        <v>1</v>
      </c>
      <c r="H14" s="299">
        <f t="shared" ref="H14:U14" si="11">H10+H13</f>
        <v>1858.1768230600001</v>
      </c>
      <c r="I14" s="302">
        <f t="shared" si="11"/>
        <v>1</v>
      </c>
      <c r="J14" s="299">
        <f t="shared" si="11"/>
        <v>2106.5699999999997</v>
      </c>
      <c r="K14" s="302">
        <f t="shared" si="11"/>
        <v>1</v>
      </c>
      <c r="L14" s="299">
        <f t="shared" si="11"/>
        <v>2743.69</v>
      </c>
      <c r="M14" s="302">
        <f t="shared" si="11"/>
        <v>1</v>
      </c>
      <c r="N14" s="299">
        <f t="shared" si="11"/>
        <v>2553.5300000000002</v>
      </c>
      <c r="O14" s="302">
        <f t="shared" si="11"/>
        <v>1</v>
      </c>
      <c r="P14" s="299">
        <f t="shared" si="11"/>
        <v>2911.51</v>
      </c>
      <c r="Q14" s="302">
        <f t="shared" si="11"/>
        <v>0.99999999999999989</v>
      </c>
      <c r="R14" s="308">
        <f>R10+R13</f>
        <v>3012.22</v>
      </c>
      <c r="S14" s="302">
        <f t="shared" si="11"/>
        <v>1</v>
      </c>
      <c r="T14" s="308">
        <f>T10+T13</f>
        <v>2876.21</v>
      </c>
      <c r="U14" s="302">
        <f t="shared" si="11"/>
        <v>1</v>
      </c>
      <c r="V14" s="308">
        <f t="shared" ref="V14:AA14" si="12">V10+V13</f>
        <v>3140.25</v>
      </c>
      <c r="W14" s="302">
        <f t="shared" si="12"/>
        <v>1</v>
      </c>
      <c r="X14" s="308">
        <f t="shared" si="12"/>
        <v>2829.3199999999997</v>
      </c>
      <c r="Y14" s="302">
        <f t="shared" si="12"/>
        <v>1.0000000000000002</v>
      </c>
      <c r="Z14" s="308">
        <f t="shared" si="12"/>
        <v>3950.0989965999997</v>
      </c>
      <c r="AA14" s="302">
        <f t="shared" si="12"/>
        <v>1</v>
      </c>
      <c r="AB14" s="308">
        <f>AB10+AB13</f>
        <v>2720.05</v>
      </c>
      <c r="AC14" s="302">
        <f>AC10+AC13</f>
        <v>0.68860299509993295</v>
      </c>
    </row>
    <row r="15" spans="1:29">
      <c r="A15" s="309"/>
      <c r="B15" s="310"/>
      <c r="C15" s="310"/>
      <c r="D15" s="310"/>
      <c r="E15" s="310"/>
      <c r="F15" s="310"/>
      <c r="G15" s="310"/>
      <c r="H15" s="311"/>
      <c r="I15" s="312"/>
      <c r="J15" s="312"/>
      <c r="K15" s="312"/>
      <c r="L15" s="312"/>
      <c r="M15" s="312"/>
      <c r="N15" s="312"/>
      <c r="O15" s="312"/>
      <c r="P15" s="312"/>
      <c r="Q15" s="312"/>
      <c r="T15" s="312"/>
    </row>
    <row r="16" spans="1:29">
      <c r="A16" s="314" t="s">
        <v>34</v>
      </c>
      <c r="B16" s="315">
        <v>0.28999999999999998</v>
      </c>
      <c r="C16" s="316"/>
      <c r="D16" s="315">
        <v>0.36</v>
      </c>
      <c r="E16" s="316"/>
      <c r="F16" s="283">
        <v>0.1</v>
      </c>
      <c r="G16" s="316"/>
      <c r="H16" s="315">
        <v>4.7293730000000006E-2</v>
      </c>
      <c r="I16" s="318"/>
      <c r="J16" s="283">
        <v>0.06</v>
      </c>
      <c r="K16" s="318"/>
      <c r="L16" s="283">
        <v>0.04</v>
      </c>
      <c r="M16" s="318"/>
      <c r="N16" s="283">
        <v>0.02</v>
      </c>
      <c r="O16" s="318"/>
      <c r="P16" s="283">
        <v>0.01</v>
      </c>
      <c r="Q16" s="318"/>
      <c r="R16" s="319">
        <v>0</v>
      </c>
      <c r="S16" s="320"/>
      <c r="T16" s="319">
        <v>0.05</v>
      </c>
      <c r="U16" s="320"/>
      <c r="V16" s="319">
        <f>'DRETS RECONEGUTS CAIB'!L17</f>
        <v>0</v>
      </c>
      <c r="W16" s="396"/>
      <c r="X16" s="319">
        <f>'DRETS RECONEGUTS CAIB'!M17</f>
        <v>0</v>
      </c>
      <c r="Y16" s="396"/>
      <c r="Z16" s="319">
        <f>'DRETS RECONEGUTS CAIB'!N17</f>
        <v>0</v>
      </c>
      <c r="AA16" s="396"/>
      <c r="AB16" s="319">
        <f>'DRETS RECONEGUTS CAIB'!O17</f>
        <v>0</v>
      </c>
      <c r="AC16" s="396"/>
    </row>
    <row r="17" spans="1:29">
      <c r="A17" s="322" t="s">
        <v>35</v>
      </c>
      <c r="B17" s="323">
        <v>50.382844710492471</v>
      </c>
      <c r="C17" s="324"/>
      <c r="D17" s="323">
        <v>17.934201194812065</v>
      </c>
      <c r="E17" s="324"/>
      <c r="F17" s="293">
        <v>143.11901241691007</v>
      </c>
      <c r="G17" s="324"/>
      <c r="H17" s="323">
        <v>159.69</v>
      </c>
      <c r="I17" s="326"/>
      <c r="J17" s="293">
        <v>6.19</v>
      </c>
      <c r="K17" s="326"/>
      <c r="L17" s="293">
        <v>10.24</v>
      </c>
      <c r="M17" s="326"/>
      <c r="N17" s="293">
        <v>362.28</v>
      </c>
      <c r="O17" s="326"/>
      <c r="P17" s="293">
        <v>146.07</v>
      </c>
      <c r="Q17" s="326"/>
      <c r="R17" s="327">
        <v>98.72</v>
      </c>
      <c r="S17" s="328"/>
      <c r="T17" s="327">
        <v>574.53</v>
      </c>
      <c r="U17" s="328"/>
      <c r="V17" s="327">
        <f>'DRETS RECONEGUTS CAIB'!L18</f>
        <v>1160.08</v>
      </c>
      <c r="W17" s="395"/>
      <c r="X17" s="327">
        <f>'DRETS RECONEGUTS CAIB'!M18</f>
        <v>555.35</v>
      </c>
      <c r="Y17" s="395"/>
      <c r="Z17" s="327">
        <f>'DRETS RECONEGUTS CAIB'!N18</f>
        <v>1668.7841842400001</v>
      </c>
      <c r="AA17" s="395"/>
      <c r="AB17" s="319">
        <f>'DRETS RECONEGUTS CAIB'!O18</f>
        <v>1268.17</v>
      </c>
      <c r="AC17" s="395"/>
    </row>
    <row r="18" spans="1:29" ht="14.3">
      <c r="A18" s="330" t="s">
        <v>36</v>
      </c>
      <c r="B18" s="331">
        <f>SUM(B16:B17)</f>
        <v>50.67284471049247</v>
      </c>
      <c r="C18" s="332"/>
      <c r="D18" s="363">
        <f>SUM(D16:D17)</f>
        <v>18.294201194812064</v>
      </c>
      <c r="E18" s="332"/>
      <c r="F18" s="363">
        <f>SUM(F16:G17)</f>
        <v>143.21901241691006</v>
      </c>
      <c r="G18" s="332"/>
      <c r="H18" s="363">
        <f>SUM(H16:H17)</f>
        <v>159.73729373</v>
      </c>
      <c r="I18" s="334"/>
      <c r="J18" s="299">
        <f>SUM(J16:J17)</f>
        <v>6.25</v>
      </c>
      <c r="K18" s="334"/>
      <c r="L18" s="305">
        <f>SUM(L16:L17)</f>
        <v>10.28</v>
      </c>
      <c r="M18" s="334"/>
      <c r="N18" s="305">
        <f>SUM(N16:N17)</f>
        <v>362.29999999999995</v>
      </c>
      <c r="O18" s="334"/>
      <c r="P18" s="305">
        <f>SUM(P16:P17)</f>
        <v>146.07999999999998</v>
      </c>
      <c r="Q18" s="334"/>
      <c r="R18" s="306">
        <f>SUM(R16:R17)</f>
        <v>98.72</v>
      </c>
      <c r="S18" s="335"/>
      <c r="T18" s="306">
        <f>SUM(T16:T17)</f>
        <v>574.57999999999993</v>
      </c>
      <c r="U18" s="335"/>
      <c r="V18" s="306">
        <f>SUM(V16:V17)</f>
        <v>1160.08</v>
      </c>
      <c r="W18" s="335"/>
      <c r="X18" s="306">
        <f>SUM(X16:X17)</f>
        <v>555.35</v>
      </c>
      <c r="Y18" s="335"/>
      <c r="Z18" s="306">
        <f>SUM(Z16:Z17)</f>
        <v>1668.7841842400001</v>
      </c>
      <c r="AA18" s="335"/>
      <c r="AB18" s="306">
        <f>SUM(AB16:AB17)</f>
        <v>1268.17</v>
      </c>
      <c r="AC18" s="335"/>
    </row>
    <row r="19" spans="1:29">
      <c r="A19" s="336"/>
      <c r="B19" s="310"/>
      <c r="C19" s="310"/>
      <c r="D19" s="310"/>
      <c r="E19" s="310"/>
      <c r="F19" s="310"/>
      <c r="G19" s="310"/>
      <c r="H19" s="311"/>
      <c r="I19" s="312"/>
      <c r="J19" s="312"/>
      <c r="K19" s="312"/>
      <c r="L19" s="312"/>
      <c r="M19" s="312"/>
      <c r="N19" s="312"/>
      <c r="O19" s="312"/>
      <c r="P19" s="312"/>
      <c r="Q19" s="312"/>
      <c r="T19" s="312"/>
    </row>
    <row r="20" spans="1:29" ht="14.3">
      <c r="A20" s="330" t="s">
        <v>37</v>
      </c>
      <c r="B20" s="333">
        <f>SUM(B18,B14)</f>
        <v>900.11284471049237</v>
      </c>
      <c r="C20" s="332"/>
      <c r="D20" s="363">
        <f>SUM(D18,D14)</f>
        <v>953.44420119481208</v>
      </c>
      <c r="E20" s="332"/>
      <c r="F20" s="363">
        <f>SUM(F18,F14)</f>
        <v>1064.5990124169102</v>
      </c>
      <c r="G20" s="332"/>
      <c r="H20" s="363">
        <f>H14+H18</f>
        <v>2017.91411679</v>
      </c>
      <c r="I20" s="334"/>
      <c r="J20" s="299">
        <f>J14+J18</f>
        <v>2112.8199999999997</v>
      </c>
      <c r="K20" s="334"/>
      <c r="L20" s="299">
        <f>L14+L18</f>
        <v>2753.9700000000003</v>
      </c>
      <c r="M20" s="338"/>
      <c r="N20" s="299">
        <f>N14+N18</f>
        <v>2915.83</v>
      </c>
      <c r="O20" s="338"/>
      <c r="P20" s="299">
        <f>P14+P18</f>
        <v>3057.59</v>
      </c>
      <c r="Q20" s="334"/>
      <c r="R20" s="299">
        <f>R14+R18</f>
        <v>3110.9399999999996</v>
      </c>
      <c r="S20" s="335"/>
      <c r="T20" s="299">
        <f>T14+T18</f>
        <v>3450.79</v>
      </c>
      <c r="U20" s="335"/>
      <c r="V20" s="299">
        <f>V14+V18</f>
        <v>4300.33</v>
      </c>
      <c r="W20" s="394"/>
      <c r="X20" s="299">
        <f>X14+X18</f>
        <v>3384.6699999999996</v>
      </c>
      <c r="Y20" s="394"/>
      <c r="Z20" s="299">
        <f>Z14+Z18</f>
        <v>5618.88318084</v>
      </c>
      <c r="AA20" s="394"/>
      <c r="AB20" s="299">
        <f>AB14+AB18</f>
        <v>3988.2200000000003</v>
      </c>
      <c r="AC20" s="394"/>
    </row>
    <row r="21" spans="1:29">
      <c r="A21" s="336"/>
      <c r="B21" s="339"/>
      <c r="C21" s="340"/>
      <c r="D21" s="339"/>
      <c r="E21" s="340"/>
      <c r="F21" s="339"/>
      <c r="G21" s="340"/>
      <c r="H21" s="309"/>
    </row>
    <row r="22" spans="1:29">
      <c r="A22" s="336"/>
      <c r="B22" s="339"/>
      <c r="C22" s="340"/>
      <c r="D22" s="339"/>
      <c r="E22" s="340"/>
      <c r="F22" s="339"/>
      <c r="G22" s="340"/>
      <c r="H22" s="309"/>
    </row>
    <row r="23" spans="1:29">
      <c r="B23" s="341"/>
      <c r="C23" s="342"/>
      <c r="D23" s="341"/>
      <c r="E23" s="342"/>
      <c r="F23" s="341"/>
      <c r="G23" s="342"/>
    </row>
    <row r="24" spans="1:29" ht="14.3">
      <c r="A24" s="271" t="s">
        <v>38</v>
      </c>
      <c r="B24" s="343">
        <v>1999</v>
      </c>
      <c r="C24" s="273" t="s">
        <v>23</v>
      </c>
      <c r="D24" s="343">
        <v>2000</v>
      </c>
      <c r="E24" s="273" t="s">
        <v>23</v>
      </c>
      <c r="F24" s="343">
        <v>2001</v>
      </c>
      <c r="G24" s="273" t="s">
        <v>23</v>
      </c>
      <c r="H24" s="276">
        <v>2002</v>
      </c>
      <c r="I24" s="275" t="s">
        <v>23</v>
      </c>
      <c r="J24" s="276">
        <v>2003</v>
      </c>
      <c r="K24" s="275" t="s">
        <v>23</v>
      </c>
      <c r="L24" s="276">
        <v>2004</v>
      </c>
      <c r="M24" s="275" t="s">
        <v>23</v>
      </c>
      <c r="N24" s="276">
        <v>2005</v>
      </c>
      <c r="O24" s="275" t="s">
        <v>23</v>
      </c>
      <c r="P24" s="276">
        <v>2006</v>
      </c>
      <c r="Q24" s="275" t="s">
        <v>23</v>
      </c>
      <c r="R24" s="276">
        <v>2007</v>
      </c>
      <c r="S24" s="278" t="s">
        <v>23</v>
      </c>
      <c r="T24" s="277">
        <v>2008</v>
      </c>
      <c r="U24" s="278" t="s">
        <v>23</v>
      </c>
      <c r="V24" s="277">
        <v>2009</v>
      </c>
      <c r="W24" s="278" t="s">
        <v>23</v>
      </c>
      <c r="X24" s="277">
        <v>2010</v>
      </c>
      <c r="Y24" s="278" t="s">
        <v>23</v>
      </c>
      <c r="Z24" s="277">
        <v>2011</v>
      </c>
      <c r="AA24" s="278" t="s">
        <v>23</v>
      </c>
      <c r="AB24" s="277">
        <v>2012</v>
      </c>
      <c r="AC24" s="278" t="s">
        <v>23</v>
      </c>
    </row>
    <row r="25" spans="1:29">
      <c r="A25" s="279" t="s">
        <v>39</v>
      </c>
      <c r="B25" s="280">
        <v>302.3</v>
      </c>
      <c r="C25" s="281">
        <f t="shared" ref="C25:C33" si="13">B25/$B$33</f>
        <v>0.36554250958294537</v>
      </c>
      <c r="D25" s="280">
        <v>341.04</v>
      </c>
      <c r="E25" s="281">
        <f t="shared" ref="E25:E33" si="14">D25/$D$33</f>
        <v>0.36806320015541022</v>
      </c>
      <c r="F25" s="280">
        <v>373.26</v>
      </c>
      <c r="G25" s="344">
        <f t="shared" ref="G25:G33" si="15">F25/$F$33</f>
        <v>0.3736224137413291</v>
      </c>
      <c r="H25" s="280">
        <v>405.58</v>
      </c>
      <c r="I25" s="344">
        <f t="shared" ref="I25:I33" si="16">H25/$H$33</f>
        <v>0.2049035804321577</v>
      </c>
      <c r="J25" s="280">
        <v>457.76</v>
      </c>
      <c r="K25" s="344">
        <f t="shared" ref="K25:K33" si="17">J25/$J$33</f>
        <v>0.21556559125606892</v>
      </c>
      <c r="L25" s="280">
        <v>496.87</v>
      </c>
      <c r="M25" s="344">
        <f t="shared" ref="M25:M33" si="18">L25/$L$33</f>
        <v>0.2156862745098039</v>
      </c>
      <c r="N25" s="280">
        <v>520.9</v>
      </c>
      <c r="O25" s="344">
        <f t="shared" ref="O25:O33" si="19">N25/$N$33</f>
        <v>0.17928375983066305</v>
      </c>
      <c r="P25" s="280">
        <v>536.16</v>
      </c>
      <c r="Q25" s="344">
        <f t="shared" ref="Q25:Q33" si="20">P25/$P$33</f>
        <v>0.18396168151187844</v>
      </c>
      <c r="R25" s="289">
        <v>585.14</v>
      </c>
      <c r="S25" s="345">
        <f>R25/$R$33</f>
        <v>0.17924008135859043</v>
      </c>
      <c r="T25" s="285">
        <v>639.54999999999995</v>
      </c>
      <c r="U25" s="344">
        <f>T25/$T$33</f>
        <v>0.17803059826966114</v>
      </c>
      <c r="V25" s="285">
        <f>'OBLIGAGIONS RECON. CAIB '!L10</f>
        <v>673.59</v>
      </c>
      <c r="W25" s="344">
        <f>V25/$V$33</f>
        <v>0.1735604906970093</v>
      </c>
      <c r="X25" s="319">
        <f>'OBLIGAGIONS RECON. CAIB '!M10</f>
        <v>655.12</v>
      </c>
      <c r="Y25" s="344">
        <f>X25/$X$33</f>
        <v>0.17258984883371706</v>
      </c>
      <c r="Z25" s="319">
        <f>'OBLIGAGIONS RECON. CAIB '!N10</f>
        <v>583.39478061</v>
      </c>
      <c r="AA25" s="344">
        <f>Z25/$Z$33</f>
        <v>0.11719929006372695</v>
      </c>
      <c r="AB25" s="319">
        <f>'OBLIGAGIONS RECON. CAIB '!O10</f>
        <v>581.98</v>
      </c>
      <c r="AC25" s="344">
        <f>AB25/$Z$33</f>
        <v>0.11691507208886856</v>
      </c>
    </row>
    <row r="26" spans="1:29">
      <c r="A26" s="279" t="s">
        <v>40</v>
      </c>
      <c r="B26" s="280">
        <v>56.4</v>
      </c>
      <c r="C26" s="281">
        <f t="shared" si="13"/>
        <v>6.8199131791194564E-2</v>
      </c>
      <c r="D26" s="280">
        <v>61.17</v>
      </c>
      <c r="E26" s="281">
        <f t="shared" si="14"/>
        <v>6.6016965615489212E-2</v>
      </c>
      <c r="F26" s="280">
        <v>59.02</v>
      </c>
      <c r="G26" s="281">
        <f t="shared" si="15"/>
        <v>5.9077304985836264E-2</v>
      </c>
      <c r="H26" s="280">
        <v>63.02</v>
      </c>
      <c r="I26" s="281">
        <f t="shared" si="16"/>
        <v>3.1838413232493173E-2</v>
      </c>
      <c r="J26" s="280">
        <v>78.150000000000006</v>
      </c>
      <c r="K26" s="281">
        <f t="shared" si="17"/>
        <v>3.6801928863731626E-2</v>
      </c>
      <c r="L26" s="280">
        <v>65.06</v>
      </c>
      <c r="M26" s="281">
        <f t="shared" si="18"/>
        <v>2.824189228491928E-2</v>
      </c>
      <c r="N26" s="280">
        <v>79.930000000000007</v>
      </c>
      <c r="O26" s="281">
        <f t="shared" si="19"/>
        <v>2.7510368445507579E-2</v>
      </c>
      <c r="P26" s="280">
        <v>94.77</v>
      </c>
      <c r="Q26" s="281">
        <f t="shared" si="20"/>
        <v>3.2516503575202776E-2</v>
      </c>
      <c r="R26" s="289">
        <v>104.55</v>
      </c>
      <c r="S26" s="282">
        <f>R26/$R$33</f>
        <v>3.2025755385105499E-2</v>
      </c>
      <c r="T26" s="289">
        <v>101.79</v>
      </c>
      <c r="U26" s="281">
        <f t="shared" ref="U26:U31" si="21">T26/$T$33</f>
        <v>2.8335133449876957E-2</v>
      </c>
      <c r="V26" s="289">
        <f>'OBLIGAGIONS RECON. CAIB '!L11</f>
        <v>98.99</v>
      </c>
      <c r="W26" s="281">
        <f>V26/$V$33</f>
        <v>2.5506247085165974E-2</v>
      </c>
      <c r="X26" s="292">
        <f>'OBLIGAGIONS RECON. CAIB '!M11</f>
        <v>92.6</v>
      </c>
      <c r="Y26" s="281">
        <f>X26/$X$33</f>
        <v>2.4395255834049029E-2</v>
      </c>
      <c r="Z26" s="292">
        <f>'OBLIGAGIONS RECON. CAIB '!N11</f>
        <v>78.286080870000006</v>
      </c>
      <c r="AA26" s="281">
        <f>Z26/$Z$33</f>
        <v>1.5727040084661061E-2</v>
      </c>
      <c r="AB26" s="319">
        <f>'OBLIGAGIONS RECON. CAIB '!O11</f>
        <v>74.150000000000006</v>
      </c>
      <c r="AC26" s="281">
        <f>AB26/$Z$33</f>
        <v>1.4896134910803816E-2</v>
      </c>
    </row>
    <row r="27" spans="1:29">
      <c r="A27" s="279" t="s">
        <v>41</v>
      </c>
      <c r="B27" s="280">
        <v>16.55</v>
      </c>
      <c r="C27" s="281">
        <f t="shared" si="13"/>
        <v>2.0012333885536707E-2</v>
      </c>
      <c r="D27" s="280">
        <v>16.170000000000002</v>
      </c>
      <c r="E27" s="281">
        <f t="shared" si="14"/>
        <v>1.7451272421161693E-2</v>
      </c>
      <c r="F27" s="280">
        <v>17.72</v>
      </c>
      <c r="G27" s="281">
        <f t="shared" si="15"/>
        <v>1.7737205088936267E-2</v>
      </c>
      <c r="H27" s="280">
        <v>20.52</v>
      </c>
      <c r="I27" s="281">
        <f t="shared" si="16"/>
        <v>1.0366934933842586E-2</v>
      </c>
      <c r="J27" s="280">
        <v>24.23</v>
      </c>
      <c r="K27" s="281">
        <f t="shared" si="17"/>
        <v>1.1410246146746222E-2</v>
      </c>
      <c r="L27" s="280">
        <v>26.9</v>
      </c>
      <c r="M27" s="281">
        <f t="shared" si="18"/>
        <v>1.1677019712024724E-2</v>
      </c>
      <c r="N27" s="280">
        <v>32.44</v>
      </c>
      <c r="O27" s="281">
        <f t="shared" si="19"/>
        <v>1.1165223975632001E-2</v>
      </c>
      <c r="P27" s="280">
        <v>42.24</v>
      </c>
      <c r="Q27" s="281">
        <f t="shared" si="20"/>
        <v>1.4492952527345842E-2</v>
      </c>
      <c r="R27" s="289">
        <v>46.32</v>
      </c>
      <c r="S27" s="282">
        <f>R27/$R$33</f>
        <v>1.4188742127576152E-2</v>
      </c>
      <c r="T27" s="289">
        <v>62.69</v>
      </c>
      <c r="U27" s="281">
        <f t="shared" si="21"/>
        <v>1.7450923626808001E-2</v>
      </c>
      <c r="V27" s="289">
        <f>'OBLIGAGIONS RECON. CAIB '!L12</f>
        <v>66.16</v>
      </c>
      <c r="W27" s="281">
        <f>V27/$V$33</f>
        <v>1.7047108871144367E-2</v>
      </c>
      <c r="X27" s="292">
        <f>'OBLIGAGIONS RECON. CAIB '!M12</f>
        <v>75.73</v>
      </c>
      <c r="Y27" s="281">
        <f>X27/$X$33</f>
        <v>1.9950893351107269E-2</v>
      </c>
      <c r="Z27" s="292">
        <f>'OBLIGAGIONS RECON. CAIB '!N12</f>
        <v>223.77874393000002</v>
      </c>
      <c r="AA27" s="281">
        <f>Z27/$Z$33</f>
        <v>4.4955338634544845E-2</v>
      </c>
      <c r="AB27" s="319">
        <f>'OBLIGAGIONS RECON. CAIB '!O12</f>
        <v>225.79</v>
      </c>
      <c r="AC27" s="281">
        <f>AB27/$Z$33</f>
        <v>4.5359383702095663E-2</v>
      </c>
    </row>
    <row r="28" spans="1:29">
      <c r="A28" s="279" t="s">
        <v>27</v>
      </c>
      <c r="B28" s="280">
        <v>171.41</v>
      </c>
      <c r="C28" s="281">
        <f t="shared" si="13"/>
        <v>0.20726973723986988</v>
      </c>
      <c r="D28" s="280">
        <v>215.79</v>
      </c>
      <c r="E28" s="281">
        <f t="shared" si="14"/>
        <v>0.23288868743119859</v>
      </c>
      <c r="F28" s="280">
        <v>248.8</v>
      </c>
      <c r="G28" s="281">
        <f t="shared" si="15"/>
        <v>0.24904157032321353</v>
      </c>
      <c r="H28" s="280">
        <v>1041.51</v>
      </c>
      <c r="I28" s="346">
        <f t="shared" si="16"/>
        <v>0.52618257324300155</v>
      </c>
      <c r="J28" s="280">
        <v>1133.8699999999999</v>
      </c>
      <c r="K28" s="346">
        <f t="shared" si="17"/>
        <v>0.53395525375200725</v>
      </c>
      <c r="L28" s="280">
        <v>1185.1600000000001</v>
      </c>
      <c r="M28" s="346">
        <f t="shared" si="18"/>
        <v>0.51446604765439496</v>
      </c>
      <c r="N28" s="280">
        <v>1690.74</v>
      </c>
      <c r="O28" s="346">
        <f t="shared" si="19"/>
        <v>0.58192018448088934</v>
      </c>
      <c r="P28" s="280">
        <v>1706.6</v>
      </c>
      <c r="Q28" s="346">
        <f t="shared" si="20"/>
        <v>0.58555096551061581</v>
      </c>
      <c r="R28" s="289">
        <v>1930.86</v>
      </c>
      <c r="S28" s="347">
        <f>R28/$R$33</f>
        <v>0.59146102384394827</v>
      </c>
      <c r="T28" s="295">
        <v>2105.65</v>
      </c>
      <c r="U28" s="346">
        <f t="shared" si="21"/>
        <v>0.5861467113540958</v>
      </c>
      <c r="V28" s="295">
        <f>'OBLIGAGIONS RECON. CAIB '!L13</f>
        <v>2261.58</v>
      </c>
      <c r="W28" s="346">
        <f>V28/$V$33</f>
        <v>0.58272975333740451</v>
      </c>
      <c r="X28" s="327">
        <f>'OBLIGAGIONS RECON. CAIB '!M13</f>
        <v>2290.2800000000002</v>
      </c>
      <c r="Y28" s="346">
        <f>X28/$X$33</f>
        <v>0.60336896902382087</v>
      </c>
      <c r="Z28" s="327">
        <f>'OBLIGAGIONS RECON. CAIB '!N13</f>
        <v>3701.4977252800004</v>
      </c>
      <c r="AA28" s="346">
        <f>Z28/$Z$33</f>
        <v>0.74360093712480535</v>
      </c>
      <c r="AB28" s="319">
        <f>'OBLIGAGIONS RECON. CAIB '!O13</f>
        <v>1790.59</v>
      </c>
      <c r="AC28" s="346">
        <f>AB28/$Z$33</f>
        <v>0.35971503991822251</v>
      </c>
    </row>
    <row r="29" spans="1:29" ht="14.3">
      <c r="A29" s="298" t="s">
        <v>42</v>
      </c>
      <c r="B29" s="299">
        <f>SUM(B25:B28)</f>
        <v>546.66</v>
      </c>
      <c r="C29" s="300">
        <f t="shared" si="13"/>
        <v>0.6610237124995465</v>
      </c>
      <c r="D29" s="299">
        <f>SUM(D25:D28)</f>
        <v>634.17000000000007</v>
      </c>
      <c r="E29" s="300">
        <f t="shared" si="14"/>
        <v>0.68442012562325982</v>
      </c>
      <c r="F29" s="299">
        <f>SUM(F25:F28)</f>
        <v>698.8</v>
      </c>
      <c r="G29" s="300">
        <f t="shared" si="15"/>
        <v>0.69947849413931507</v>
      </c>
      <c r="H29" s="348">
        <f>SUM(H25:H28)</f>
        <v>1530.6299999999999</v>
      </c>
      <c r="I29" s="300">
        <f t="shared" si="16"/>
        <v>0.77329150184149498</v>
      </c>
      <c r="J29" s="348">
        <f>SUM(J25:J28)</f>
        <v>1694.0099999999998</v>
      </c>
      <c r="K29" s="300">
        <f t="shared" si="17"/>
        <v>0.79773302001855395</v>
      </c>
      <c r="L29" s="348">
        <f>SUM(L25:L28)</f>
        <v>1773.9900000000002</v>
      </c>
      <c r="M29" s="300">
        <f t="shared" si="18"/>
        <v>0.77007123416114298</v>
      </c>
      <c r="N29" s="348">
        <f>SUM(N25:N28)</f>
        <v>2324.0100000000002</v>
      </c>
      <c r="O29" s="300">
        <f t="shared" si="19"/>
        <v>0.79987953673269196</v>
      </c>
      <c r="P29" s="348">
        <f>SUM(P25:P28)</f>
        <v>2379.77</v>
      </c>
      <c r="Q29" s="300">
        <f t="shared" si="20"/>
        <v>0.81652210312504292</v>
      </c>
      <c r="R29" s="308">
        <f t="shared" ref="R29:W29" si="22">SUM(R25:R28)</f>
        <v>2666.87</v>
      </c>
      <c r="S29" s="349">
        <f t="shared" si="22"/>
        <v>0.81691560271522035</v>
      </c>
      <c r="T29" s="303">
        <f t="shared" si="22"/>
        <v>2909.6800000000003</v>
      </c>
      <c r="U29" s="350">
        <f t="shared" si="22"/>
        <v>0.80996336670044189</v>
      </c>
      <c r="V29" s="308">
        <f t="shared" si="22"/>
        <v>3100.3199999999997</v>
      </c>
      <c r="W29" s="351">
        <f t="shared" si="22"/>
        <v>0.79884359999072418</v>
      </c>
      <c r="X29" s="308">
        <f t="shared" ref="X29:AC29" si="23">SUM(X25:X28)</f>
        <v>3113.7300000000005</v>
      </c>
      <c r="Y29" s="351">
        <f t="shared" si="23"/>
        <v>0.82030496704269429</v>
      </c>
      <c r="Z29" s="308">
        <f t="shared" si="23"/>
        <v>4586.9573306900002</v>
      </c>
      <c r="AA29" s="351">
        <f t="shared" si="23"/>
        <v>0.92148260590773823</v>
      </c>
      <c r="AB29" s="308">
        <f t="shared" si="23"/>
        <v>2672.5099999999998</v>
      </c>
      <c r="AC29" s="351">
        <f t="shared" si="23"/>
        <v>0.53688563061999051</v>
      </c>
    </row>
    <row r="30" spans="1:29" ht="20.25" customHeight="1">
      <c r="A30" s="279" t="s">
        <v>43</v>
      </c>
      <c r="B30" s="280">
        <v>139.66</v>
      </c>
      <c r="C30" s="281">
        <f t="shared" si="13"/>
        <v>0.16887749549571338</v>
      </c>
      <c r="D30" s="280">
        <v>133.41999999999999</v>
      </c>
      <c r="E30" s="281">
        <f t="shared" si="14"/>
        <v>0.14399188413304839</v>
      </c>
      <c r="F30" s="280">
        <v>144.22999999999999</v>
      </c>
      <c r="G30" s="281">
        <f t="shared" si="15"/>
        <v>0.14437003893776962</v>
      </c>
      <c r="H30" s="280">
        <v>184.18</v>
      </c>
      <c r="I30" s="281">
        <f t="shared" si="16"/>
        <v>9.3049808777540335E-2</v>
      </c>
      <c r="J30" s="280">
        <v>160.66999999999999</v>
      </c>
      <c r="K30" s="281">
        <f t="shared" si="17"/>
        <v>7.5661751894251561E-2</v>
      </c>
      <c r="L30" s="280">
        <v>249.35</v>
      </c>
      <c r="M30" s="281">
        <f t="shared" si="18"/>
        <v>0.10824032956109164</v>
      </c>
      <c r="N30" s="280">
        <v>312.64999999999998</v>
      </c>
      <c r="O30" s="281">
        <f t="shared" si="19"/>
        <v>0.10760811578240891</v>
      </c>
      <c r="P30" s="280">
        <v>207.38</v>
      </c>
      <c r="Q30" s="281">
        <f t="shared" si="20"/>
        <v>7.1154083691311085E-2</v>
      </c>
      <c r="R30" s="289">
        <v>225.1</v>
      </c>
      <c r="S30" s="345">
        <f>R30/$R$33</f>
        <v>6.8952630676109489E-2</v>
      </c>
      <c r="T30" s="285">
        <v>222.06</v>
      </c>
      <c r="U30" s="344">
        <f t="shared" si="21"/>
        <v>6.1814517475976785E-2</v>
      </c>
      <c r="V30" s="319">
        <f>'OBLIGAGIONS RECON. CAIB '!L14</f>
        <v>201.2</v>
      </c>
      <c r="W30" s="344">
        <f>V30/$V$33</f>
        <v>5.1842175103903362E-2</v>
      </c>
      <c r="X30" s="319">
        <f>'OBLIGAGIONS RECON. CAIB '!M14</f>
        <v>149.72</v>
      </c>
      <c r="Y30" s="344">
        <f>X30/$X$33</f>
        <v>3.9443387726499142E-2</v>
      </c>
      <c r="Z30" s="319">
        <f>'OBLIGAGIONS RECON. CAIB '!N14</f>
        <v>103.01</v>
      </c>
      <c r="AA30" s="344">
        <f>Z30/$Z$33</f>
        <v>2.0693875349452474E-2</v>
      </c>
      <c r="AB30" s="319">
        <f>'OBLIGAGIONS RECON. CAIB '!O14</f>
        <v>119.23</v>
      </c>
      <c r="AC30" s="344">
        <f>AB30/$Z$33</f>
        <v>2.3952342082469841E-2</v>
      </c>
    </row>
    <row r="31" spans="1:29">
      <c r="A31" s="279" t="s">
        <v>44</v>
      </c>
      <c r="B31" s="280">
        <v>140.66999999999999</v>
      </c>
      <c r="C31" s="281">
        <f t="shared" si="13"/>
        <v>0.17009879200474007</v>
      </c>
      <c r="D31" s="280">
        <v>158.99</v>
      </c>
      <c r="E31" s="281">
        <f t="shared" si="14"/>
        <v>0.17158799024369187</v>
      </c>
      <c r="F31" s="280">
        <v>156</v>
      </c>
      <c r="G31" s="281">
        <f t="shared" si="15"/>
        <v>0.15615146692291523</v>
      </c>
      <c r="H31" s="280">
        <v>264.56</v>
      </c>
      <c r="I31" s="281">
        <f t="shared" si="16"/>
        <v>0.13365868938096465</v>
      </c>
      <c r="J31" s="280">
        <v>268.85000000000002</v>
      </c>
      <c r="K31" s="281">
        <f t="shared" si="17"/>
        <v>0.12660522808719446</v>
      </c>
      <c r="L31" s="280">
        <v>280.33</v>
      </c>
      <c r="M31" s="281">
        <f t="shared" si="18"/>
        <v>0.12168843627776547</v>
      </c>
      <c r="N31" s="280">
        <v>268.79000000000002</v>
      </c>
      <c r="O31" s="281">
        <f t="shared" si="19"/>
        <v>9.2512347484899074E-2</v>
      </c>
      <c r="P31" s="280">
        <v>327.37</v>
      </c>
      <c r="Q31" s="281">
        <f t="shared" si="20"/>
        <v>0.11232381318364602</v>
      </c>
      <c r="R31" s="289">
        <v>372.59</v>
      </c>
      <c r="S31" s="347">
        <f>R31/$R$33</f>
        <v>0.11413176660867008</v>
      </c>
      <c r="T31" s="295">
        <v>460.62</v>
      </c>
      <c r="U31" s="346">
        <f t="shared" si="21"/>
        <v>0.12822211582358115</v>
      </c>
      <c r="V31" s="327">
        <f>'OBLIGAGIONS RECON. CAIB '!L15</f>
        <v>579.49</v>
      </c>
      <c r="W31" s="346">
        <f>V31/$V$33</f>
        <v>0.14931422490537258</v>
      </c>
      <c r="X31" s="327">
        <f>'OBLIGAGIONS RECON. CAIB '!M15</f>
        <v>532.37</v>
      </c>
      <c r="Y31" s="346">
        <f>X31/$X$33</f>
        <v>0.14025164523080649</v>
      </c>
      <c r="Z31" s="327">
        <f>'OBLIGAGIONS RECON. CAIB '!N15</f>
        <v>287.83398783999996</v>
      </c>
      <c r="AA31" s="346">
        <f>Z31/$Z$33</f>
        <v>5.7823518742809228E-2</v>
      </c>
      <c r="AB31" s="319">
        <f>'OBLIGAGIONS RECON. CAIB '!O15</f>
        <v>302.73</v>
      </c>
      <c r="AC31" s="346">
        <f>AB31/$Z$33</f>
        <v>6.0816007033683603E-2</v>
      </c>
    </row>
    <row r="32" spans="1:29" ht="14.3">
      <c r="A32" s="298" t="s">
        <v>45</v>
      </c>
      <c r="B32" s="299">
        <f>SUM(B30:B31)</f>
        <v>280.33</v>
      </c>
      <c r="C32" s="300">
        <f t="shared" si="13"/>
        <v>0.33897628750045344</v>
      </c>
      <c r="D32" s="299">
        <f>SUM(D30:D31)</f>
        <v>292.40999999999997</v>
      </c>
      <c r="E32" s="300">
        <f t="shared" si="14"/>
        <v>0.31557987437674023</v>
      </c>
      <c r="F32" s="299">
        <f>SUM(F30:F31)</f>
        <v>300.23</v>
      </c>
      <c r="G32" s="300">
        <f t="shared" si="15"/>
        <v>0.30052150586068488</v>
      </c>
      <c r="H32" s="348">
        <f>SUM(H30:H31)</f>
        <v>448.74</v>
      </c>
      <c r="I32" s="300">
        <f t="shared" si="16"/>
        <v>0.226708498158505</v>
      </c>
      <c r="J32" s="348">
        <f>SUM(J30:J31)</f>
        <v>429.52</v>
      </c>
      <c r="K32" s="300">
        <f t="shared" si="17"/>
        <v>0.20226697998144599</v>
      </c>
      <c r="L32" s="348">
        <f>SUM(L30:L31)</f>
        <v>529.67999999999995</v>
      </c>
      <c r="M32" s="300">
        <f t="shared" si="18"/>
        <v>0.2299287658388571</v>
      </c>
      <c r="N32" s="348">
        <f>SUM(N30:N31)</f>
        <v>581.44000000000005</v>
      </c>
      <c r="O32" s="300">
        <f t="shared" si="19"/>
        <v>0.20012046326730798</v>
      </c>
      <c r="P32" s="348">
        <f>SUM(P30:P31)</f>
        <v>534.75</v>
      </c>
      <c r="Q32" s="300">
        <f t="shared" si="20"/>
        <v>0.18347789687495711</v>
      </c>
      <c r="R32" s="308">
        <f>SUM(R30:R31)</f>
        <v>597.68999999999994</v>
      </c>
      <c r="S32" s="349">
        <f>R32/$R$33</f>
        <v>0.18308439728477957</v>
      </c>
      <c r="T32" s="306">
        <f t="shared" ref="T32:AA32" si="24">SUM(T30:T31)</f>
        <v>682.68000000000006</v>
      </c>
      <c r="U32" s="351">
        <f t="shared" si="24"/>
        <v>0.19003663329955794</v>
      </c>
      <c r="V32" s="308">
        <f t="shared" si="24"/>
        <v>780.69</v>
      </c>
      <c r="W32" s="302">
        <f t="shared" si="24"/>
        <v>0.20115640000927593</v>
      </c>
      <c r="X32" s="308">
        <f t="shared" si="24"/>
        <v>682.09</v>
      </c>
      <c r="Y32" s="302">
        <f t="shared" si="24"/>
        <v>0.17969503295730563</v>
      </c>
      <c r="Z32" s="308">
        <f t="shared" si="24"/>
        <v>390.84398783999995</v>
      </c>
      <c r="AA32" s="302">
        <f t="shared" si="24"/>
        <v>7.8517394092261703E-2</v>
      </c>
      <c r="AB32" s="308">
        <f>SUM(AB30:AB31)</f>
        <v>421.96000000000004</v>
      </c>
      <c r="AC32" s="302">
        <f>SUM(AC30:AC31)</f>
        <v>8.4768349116153441E-2</v>
      </c>
    </row>
    <row r="33" spans="1:29" ht="14.3">
      <c r="A33" s="298" t="s">
        <v>46</v>
      </c>
      <c r="B33" s="299">
        <f>SUM(B32,B29)</f>
        <v>826.99</v>
      </c>
      <c r="C33" s="300">
        <f t="shared" si="13"/>
        <v>1</v>
      </c>
      <c r="D33" s="299">
        <f>SUM(D32,D29)</f>
        <v>926.58</v>
      </c>
      <c r="E33" s="300">
        <f t="shared" si="14"/>
        <v>1</v>
      </c>
      <c r="F33" s="299">
        <f>SUM(F32,F29)</f>
        <v>999.03</v>
      </c>
      <c r="G33" s="300">
        <f t="shared" si="15"/>
        <v>1</v>
      </c>
      <c r="H33" s="348">
        <f>H29+H32</f>
        <v>1979.37</v>
      </c>
      <c r="I33" s="300">
        <f t="shared" si="16"/>
        <v>1</v>
      </c>
      <c r="J33" s="348">
        <f>J29+J32</f>
        <v>2123.5299999999997</v>
      </c>
      <c r="K33" s="300">
        <f t="shared" si="17"/>
        <v>1</v>
      </c>
      <c r="L33" s="348">
        <f>L29+L32</f>
        <v>2303.67</v>
      </c>
      <c r="M33" s="300">
        <f t="shared" si="18"/>
        <v>1</v>
      </c>
      <c r="N33" s="348">
        <f>N29+N32</f>
        <v>2905.4500000000003</v>
      </c>
      <c r="O33" s="300">
        <f t="shared" si="19"/>
        <v>1</v>
      </c>
      <c r="P33" s="348">
        <f>P32+P29</f>
        <v>2914.52</v>
      </c>
      <c r="Q33" s="300">
        <f t="shared" si="20"/>
        <v>1</v>
      </c>
      <c r="R33" s="348">
        <f>R32+R29</f>
        <v>3264.56</v>
      </c>
      <c r="S33" s="300">
        <f>R33/$R$33</f>
        <v>1</v>
      </c>
      <c r="T33" s="348">
        <f>T32+T29</f>
        <v>3592.3600000000006</v>
      </c>
      <c r="U33" s="302">
        <f>U29+U32</f>
        <v>0.99999999999999978</v>
      </c>
      <c r="V33" s="348">
        <f>V32+V29</f>
        <v>3881.0099999999998</v>
      </c>
      <c r="W33" s="302">
        <f>W29+W32</f>
        <v>1</v>
      </c>
      <c r="X33" s="348">
        <f>X32+X29</f>
        <v>3795.8200000000006</v>
      </c>
      <c r="Y33" s="302">
        <f>Y29+Y32</f>
        <v>0.99999999999999989</v>
      </c>
      <c r="Z33" s="348">
        <f>Z32+Z29</f>
        <v>4977.8013185300006</v>
      </c>
      <c r="AA33" s="302">
        <f>AA29+AA32</f>
        <v>0.99999999999999989</v>
      </c>
      <c r="AB33" s="348">
        <f>AB32+AB29</f>
        <v>3094.47</v>
      </c>
      <c r="AC33" s="302">
        <f>AC29+AC32</f>
        <v>0.621653979736144</v>
      </c>
    </row>
    <row r="34" spans="1:29">
      <c r="A34" s="313"/>
      <c r="B34" s="352"/>
      <c r="C34" s="352"/>
      <c r="D34" s="352"/>
      <c r="E34" s="352"/>
      <c r="F34" s="352"/>
      <c r="G34" s="352"/>
      <c r="H34" s="312"/>
      <c r="I34" s="312"/>
      <c r="J34" s="312"/>
      <c r="K34" s="312"/>
      <c r="L34" s="312"/>
      <c r="M34" s="312"/>
      <c r="N34" s="312"/>
      <c r="O34" s="312"/>
      <c r="P34" s="312"/>
      <c r="Q34" s="312"/>
      <c r="T34" s="312"/>
    </row>
    <row r="35" spans="1:29">
      <c r="A35" s="353" t="s">
        <v>34</v>
      </c>
      <c r="B35" s="280">
        <v>3.53</v>
      </c>
      <c r="C35" s="317"/>
      <c r="D35" s="283">
        <v>6.87</v>
      </c>
      <c r="E35" s="317"/>
      <c r="F35" s="283">
        <v>10.26</v>
      </c>
      <c r="G35" s="354"/>
      <c r="H35" s="283">
        <v>8.92</v>
      </c>
      <c r="I35" s="355"/>
      <c r="J35" s="283">
        <v>5.37</v>
      </c>
      <c r="K35" s="356"/>
      <c r="L35" s="283">
        <v>1</v>
      </c>
      <c r="M35" s="356"/>
      <c r="N35" s="283">
        <v>3.22</v>
      </c>
      <c r="O35" s="355"/>
      <c r="P35" s="283">
        <v>0.67</v>
      </c>
      <c r="Q35" s="355"/>
      <c r="R35" s="283">
        <v>0.38</v>
      </c>
      <c r="S35" s="357"/>
      <c r="T35" s="319">
        <v>1.28</v>
      </c>
      <c r="U35" s="321"/>
      <c r="V35" s="319">
        <f>'OBLIGAGIONS RECON. CAIB '!L16</f>
        <v>3.64</v>
      </c>
      <c r="W35" s="396"/>
      <c r="X35" s="319">
        <f>'OBLIGAGIONS RECON. CAIB '!M16</f>
        <v>0.44</v>
      </c>
      <c r="Y35" s="396"/>
      <c r="Z35" s="319">
        <f>'OBLIGAGIONS RECON. CAIB '!N16</f>
        <v>169.62519372</v>
      </c>
      <c r="AA35" s="396"/>
      <c r="AB35" s="319">
        <f>'OBLIGAGIONS RECON. CAIB '!O16</f>
        <v>0</v>
      </c>
      <c r="AC35" s="396"/>
    </row>
    <row r="36" spans="1:29">
      <c r="A36" s="358" t="s">
        <v>35</v>
      </c>
      <c r="B36" s="280">
        <v>50.38</v>
      </c>
      <c r="C36" s="325"/>
      <c r="D36" s="293">
        <v>8.93</v>
      </c>
      <c r="E36" s="325"/>
      <c r="F36" s="293">
        <v>4.01</v>
      </c>
      <c r="G36" s="359"/>
      <c r="H36" s="293">
        <v>4.01</v>
      </c>
      <c r="I36" s="360"/>
      <c r="J36" s="293">
        <v>6.19</v>
      </c>
      <c r="K36" s="361"/>
      <c r="L36" s="293">
        <v>10.24</v>
      </c>
      <c r="M36" s="361"/>
      <c r="N36" s="293">
        <v>42.27</v>
      </c>
      <c r="O36" s="360"/>
      <c r="P36" s="293">
        <v>42.07</v>
      </c>
      <c r="Q36" s="360"/>
      <c r="R36" s="293">
        <v>42.07</v>
      </c>
      <c r="S36" s="362"/>
      <c r="T36" s="327">
        <v>42.07</v>
      </c>
      <c r="U36" s="329"/>
      <c r="V36" s="327">
        <f>'OBLIGAGIONS RECON. CAIB '!L17</f>
        <v>79.91</v>
      </c>
      <c r="W36" s="395"/>
      <c r="X36" s="327">
        <f>'OBLIGAGIONS RECON. CAIB '!M17</f>
        <v>69.25</v>
      </c>
      <c r="Y36" s="395"/>
      <c r="Z36" s="327">
        <f>'OBLIGAGIONS RECON. CAIB '!N17</f>
        <v>480.89786333000001</v>
      </c>
      <c r="AA36" s="395"/>
      <c r="AB36" s="319">
        <f>'OBLIGAGIONS RECON. CAIB '!O17</f>
        <v>485.45</v>
      </c>
      <c r="AC36" s="395"/>
    </row>
    <row r="37" spans="1:29" ht="14.3">
      <c r="A37" s="330" t="s">
        <v>47</v>
      </c>
      <c r="B37" s="363">
        <f>SUM(B35:B36)</f>
        <v>53.910000000000004</v>
      </c>
      <c r="C37" s="332"/>
      <c r="D37" s="363">
        <f>SUM(D35:D36)</f>
        <v>15.8</v>
      </c>
      <c r="E37" s="332"/>
      <c r="F37" s="363">
        <f>SUM(F35:F36)</f>
        <v>14.27</v>
      </c>
      <c r="G37" s="364"/>
      <c r="H37" s="299">
        <f>SUM(H35:H36)</f>
        <v>12.93</v>
      </c>
      <c r="I37" s="334"/>
      <c r="J37" s="337">
        <f>SUM(J35:J36)</f>
        <v>11.56</v>
      </c>
      <c r="K37" s="338"/>
      <c r="L37" s="337">
        <f>SUM(L35:L36)</f>
        <v>11.24</v>
      </c>
      <c r="M37" s="338"/>
      <c r="N37" s="299">
        <f>SUM(N35:N36)</f>
        <v>45.49</v>
      </c>
      <c r="O37" s="338"/>
      <c r="P37" s="299">
        <f>SUM(P35:P36)</f>
        <v>42.74</v>
      </c>
      <c r="Q37" s="338"/>
      <c r="R37" s="308">
        <f>SUM(R35:R36)</f>
        <v>42.45</v>
      </c>
      <c r="S37" s="335"/>
      <c r="T37" s="306">
        <f>SUM(T35:T36)</f>
        <v>43.35</v>
      </c>
      <c r="U37" s="335"/>
      <c r="V37" s="308">
        <f>SUM(V35:V36)</f>
        <v>83.55</v>
      </c>
      <c r="W37" s="394"/>
      <c r="X37" s="308">
        <f>SUM(X35:X36)</f>
        <v>69.69</v>
      </c>
      <c r="Y37" s="394"/>
      <c r="Z37" s="308">
        <f>SUM(Z35:Z36)</f>
        <v>650.52305705000003</v>
      </c>
      <c r="AA37" s="394"/>
      <c r="AB37" s="308">
        <f>SUM(AB35:AB36)</f>
        <v>485.45</v>
      </c>
      <c r="AC37" s="394"/>
    </row>
    <row r="38" spans="1:29">
      <c r="A38" s="336"/>
      <c r="B38" s="310"/>
      <c r="C38" s="310"/>
      <c r="D38" s="310"/>
      <c r="E38" s="310"/>
      <c r="F38" s="310"/>
      <c r="G38" s="310"/>
      <c r="H38" s="312"/>
      <c r="I38" s="312"/>
      <c r="J38" s="312"/>
      <c r="K38" s="312"/>
      <c r="L38" s="312"/>
      <c r="M38" s="312"/>
      <c r="N38" s="312"/>
      <c r="O38" s="312"/>
      <c r="P38" s="312"/>
      <c r="Q38" s="312"/>
      <c r="T38" s="312"/>
    </row>
    <row r="39" spans="1:29" ht="14.3">
      <c r="A39" s="330" t="s">
        <v>48</v>
      </c>
      <c r="B39" s="363">
        <f>SUM(B37,B33)</f>
        <v>880.9</v>
      </c>
      <c r="C39" s="365"/>
      <c r="D39" s="363">
        <f>SUM(D37,D33)</f>
        <v>942.38</v>
      </c>
      <c r="E39" s="365"/>
      <c r="F39" s="363">
        <f>SUM(F37,F33)</f>
        <v>1013.3</v>
      </c>
      <c r="G39" s="366"/>
      <c r="H39" s="299">
        <f>H33+H37</f>
        <v>1992.3</v>
      </c>
      <c r="I39" s="338"/>
      <c r="J39" s="299">
        <f>J33+J37</f>
        <v>2135.0899999999997</v>
      </c>
      <c r="K39" s="338"/>
      <c r="L39" s="299">
        <f>L33+L37</f>
        <v>2314.91</v>
      </c>
      <c r="M39" s="338"/>
      <c r="N39" s="299">
        <f>N33+N37</f>
        <v>2950.94</v>
      </c>
      <c r="O39" s="338"/>
      <c r="P39" s="299">
        <f>P33+P37</f>
        <v>2957.2599999999998</v>
      </c>
      <c r="Q39" s="338"/>
      <c r="R39" s="299">
        <f>R33+R37</f>
        <v>3307.0099999999998</v>
      </c>
      <c r="S39" s="335"/>
      <c r="T39" s="299">
        <f>T33+T37</f>
        <v>3635.7100000000005</v>
      </c>
      <c r="U39" s="335"/>
      <c r="V39" s="299">
        <f>V33+V37</f>
        <v>3964.56</v>
      </c>
      <c r="W39" s="394"/>
      <c r="X39" s="299">
        <f>X33+X37</f>
        <v>3865.5100000000007</v>
      </c>
      <c r="Y39" s="394"/>
      <c r="Z39" s="299">
        <f>Z33+Z37</f>
        <v>5628.3243755800004</v>
      </c>
      <c r="AA39" s="394"/>
      <c r="AB39" s="299">
        <f>AB33+AB37</f>
        <v>3579.9199999999996</v>
      </c>
      <c r="AC39" s="394"/>
    </row>
    <row r="40" spans="1:29">
      <c r="B40" s="341"/>
      <c r="C40" s="342"/>
      <c r="D40" s="341"/>
      <c r="E40" s="342"/>
      <c r="F40" s="341"/>
      <c r="G40" s="342"/>
    </row>
  </sheetData>
  <mergeCells count="2">
    <mergeCell ref="B1:AA1"/>
    <mergeCell ref="B2:AA2"/>
  </mergeCells>
  <printOptions horizontalCentered="1" verticalCentered="1"/>
  <pageMargins left="0.15748031496062992" right="0.15748031496062992" top="0.39370078740157483" bottom="0.39370078740157483" header="0" footer="0"/>
  <pageSetup paperSize="9" scale="61" orientation="landscape" horizontalDpi="300" verticalDpi="300"/>
  <headerFooter alignWithMargins="0"/>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7">
    <tabColor rgb="FF00B050"/>
  </sheetPr>
  <dimension ref="A1:AH45"/>
  <sheetViews>
    <sheetView zoomScaleNormal="100" zoomScaleSheetLayoutView="75" zoomScalePageLayoutView="125" workbookViewId="0">
      <selection activeCell="N14" sqref="N14"/>
    </sheetView>
  </sheetViews>
  <sheetFormatPr baseColWidth="10" defaultColWidth="11.375" defaultRowHeight="12.9"/>
  <cols>
    <col min="1" max="1" width="42" style="243" customWidth="1"/>
    <col min="2" max="7" width="10.125" style="243" hidden="1" customWidth="1"/>
    <col min="8" max="13" width="11.375" style="243" hidden="1" customWidth="1"/>
    <col min="14" max="23" width="12.625" style="243" customWidth="1"/>
    <col min="24" max="16384" width="11.375" style="243"/>
  </cols>
  <sheetData>
    <row r="1" spans="1:34" ht="18" customHeight="1"/>
    <row r="2" spans="1:34" ht="18" customHeight="1"/>
    <row r="3" spans="1:34" ht="18" customHeight="1">
      <c r="A3" s="499"/>
      <c r="B3" s="499"/>
      <c r="C3" s="499"/>
      <c r="D3" s="499"/>
      <c r="E3" s="499"/>
      <c r="F3" s="499"/>
      <c r="G3" s="499"/>
      <c r="H3" s="499"/>
      <c r="I3" s="499"/>
      <c r="J3" s="499"/>
      <c r="K3" s="499"/>
      <c r="L3" s="499"/>
      <c r="M3" s="499"/>
      <c r="N3" s="499"/>
      <c r="O3" s="499"/>
      <c r="P3" s="499"/>
      <c r="Q3" s="499"/>
      <c r="R3" s="499"/>
      <c r="S3" s="499"/>
      <c r="T3" s="499"/>
      <c r="U3" s="499"/>
      <c r="V3" s="499"/>
    </row>
    <row r="4" spans="1:34" ht="21.1" customHeight="1">
      <c r="A4" s="592" t="s">
        <v>248</v>
      </c>
      <c r="B4" s="592"/>
      <c r="C4" s="592"/>
      <c r="D4" s="592"/>
      <c r="E4" s="592"/>
      <c r="F4" s="592"/>
      <c r="G4" s="592"/>
      <c r="H4" s="592"/>
      <c r="I4" s="592"/>
      <c r="J4" s="592"/>
      <c r="K4" s="592"/>
      <c r="L4" s="592"/>
      <c r="M4" s="592"/>
      <c r="N4" s="592"/>
      <c r="O4" s="592"/>
      <c r="P4" s="592"/>
      <c r="Q4" s="592"/>
      <c r="R4" s="592"/>
      <c r="S4" s="592"/>
      <c r="T4" s="592"/>
      <c r="U4" s="592"/>
      <c r="V4" s="592"/>
      <c r="W4" s="592"/>
      <c r="X4" s="565"/>
      <c r="Y4" s="565"/>
      <c r="Z4" s="565"/>
      <c r="AA4" s="565"/>
      <c r="AB4" s="565"/>
      <c r="AC4" s="565"/>
      <c r="AD4" s="565"/>
      <c r="AE4" s="565"/>
      <c r="AF4" s="565"/>
      <c r="AG4" s="565"/>
      <c r="AH4" s="565"/>
    </row>
    <row r="5" spans="1:34" ht="21.1" customHeight="1">
      <c r="V5" s="535"/>
    </row>
    <row r="6" spans="1:34" ht="18" customHeight="1">
      <c r="A6" s="162" t="s">
        <v>199</v>
      </c>
      <c r="N6" s="499"/>
      <c r="O6" s="499"/>
      <c r="P6" s="499"/>
      <c r="Q6" s="499"/>
      <c r="R6" s="499"/>
      <c r="S6" s="499"/>
      <c r="T6" s="499"/>
      <c r="U6" s="499"/>
      <c r="V6" s="499"/>
      <c r="W6" s="499"/>
    </row>
    <row r="7" spans="1:34" s="566" customFormat="1" ht="18" customHeight="1">
      <c r="B7" s="567">
        <v>1999</v>
      </c>
      <c r="C7" s="567">
        <v>2000</v>
      </c>
      <c r="D7" s="567">
        <v>2001</v>
      </c>
      <c r="E7" s="567">
        <v>2002</v>
      </c>
      <c r="F7" s="567">
        <v>2003</v>
      </c>
      <c r="G7" s="567">
        <v>2004</v>
      </c>
      <c r="H7" s="568">
        <v>2005</v>
      </c>
      <c r="I7" s="568">
        <v>2006</v>
      </c>
      <c r="J7" s="568">
        <v>2007</v>
      </c>
      <c r="K7" s="568">
        <v>2008</v>
      </c>
      <c r="L7" s="568">
        <v>2009</v>
      </c>
      <c r="M7" s="568">
        <v>2010</v>
      </c>
      <c r="N7" s="573">
        <v>2012</v>
      </c>
      <c r="O7" s="573">
        <v>2013</v>
      </c>
      <c r="P7" s="573">
        <v>2014</v>
      </c>
      <c r="Q7" s="573">
        <v>2015</v>
      </c>
      <c r="R7" s="573">
        <v>2016</v>
      </c>
      <c r="S7" s="573">
        <v>2017</v>
      </c>
      <c r="T7" s="573">
        <v>2018</v>
      </c>
      <c r="U7" s="573">
        <v>2019</v>
      </c>
      <c r="V7" s="573">
        <v>2020</v>
      </c>
      <c r="W7" s="573">
        <v>2021</v>
      </c>
    </row>
    <row r="8" spans="1:34" s="566" customFormat="1" ht="9" customHeight="1" thickBot="1">
      <c r="A8" s="138"/>
      <c r="B8" s="574"/>
      <c r="C8" s="574"/>
      <c r="D8" s="574"/>
      <c r="E8" s="574"/>
      <c r="F8" s="574"/>
      <c r="G8" s="575"/>
      <c r="H8" s="576"/>
      <c r="I8" s="576"/>
      <c r="J8" s="576"/>
      <c r="K8" s="576"/>
      <c r="L8" s="576"/>
      <c r="M8" s="576"/>
      <c r="N8" s="576"/>
      <c r="O8" s="576"/>
      <c r="P8" s="576"/>
      <c r="Q8" s="576"/>
      <c r="R8" s="576"/>
      <c r="S8" s="576"/>
      <c r="T8" s="576"/>
      <c r="U8" s="576"/>
      <c r="V8" s="576"/>
      <c r="W8" s="576"/>
    </row>
    <row r="9" spans="1:34" s="566" customFormat="1" ht="9" customHeight="1" thickTop="1">
      <c r="A9" s="253"/>
      <c r="B9" s="572"/>
      <c r="C9" s="572"/>
      <c r="D9" s="572"/>
      <c r="E9" s="572"/>
      <c r="F9" s="572"/>
      <c r="G9" s="572"/>
      <c r="H9" s="573"/>
      <c r="I9" s="573"/>
      <c r="J9" s="573"/>
      <c r="K9" s="573"/>
      <c r="L9" s="573"/>
      <c r="M9" s="573"/>
      <c r="N9" s="573"/>
      <c r="O9" s="573"/>
      <c r="P9" s="573"/>
      <c r="Q9" s="573"/>
      <c r="R9" s="573"/>
      <c r="S9" s="573"/>
      <c r="T9" s="573"/>
      <c r="U9" s="573"/>
      <c r="V9" s="573"/>
      <c r="W9" s="573"/>
    </row>
    <row r="10" spans="1:34" s="566" customFormat="1" ht="18.350000000000001">
      <c r="A10" s="569" t="s">
        <v>179</v>
      </c>
      <c r="B10" s="570">
        <v>280.33</v>
      </c>
      <c r="C10" s="570">
        <v>292.40999999999997</v>
      </c>
      <c r="D10" s="570">
        <v>300.23</v>
      </c>
      <c r="E10" s="570">
        <v>448.74</v>
      </c>
      <c r="F10" s="570">
        <v>429.52</v>
      </c>
      <c r="G10" s="570">
        <f>'OBLIGA.R. CORRENT-CAPITAL CAIB'!G10</f>
        <v>529.67999999999995</v>
      </c>
      <c r="H10" s="570">
        <f>'OBLIGA.R. CORRENT-CAPITAL CAIB'!H10</f>
        <v>581.44000000000005</v>
      </c>
      <c r="I10" s="570">
        <f>'OBLIGA.R. CORRENT-CAPITAL CAIB'!I10</f>
        <v>534.75</v>
      </c>
      <c r="J10" s="570">
        <f>'OBLIGA.R. CORRENT-CAPITAL CAIB'!J10</f>
        <v>597.68999999999994</v>
      </c>
      <c r="K10" s="570">
        <f>'OBLIGA.R. CORRENT-CAPITAL CAIB'!K10</f>
        <v>682.68000000000006</v>
      </c>
      <c r="L10" s="570">
        <f>'OBLIGA.R. CORRENT-CAPITAL CAIB'!L10</f>
        <v>780.69</v>
      </c>
      <c r="M10" s="570">
        <f>'OBLIGA.R. CORRENT-CAPITAL CAIB'!M10</f>
        <v>682.09</v>
      </c>
      <c r="N10" s="570">
        <f>'OBLIGA.R. CORRENT-CAPITAL CAIB'!N10</f>
        <v>390.84398783999995</v>
      </c>
      <c r="O10" s="570">
        <f>'OBLIGA.R. CORRENT-CAPITAL CAIB'!O10</f>
        <v>421.96000000000004</v>
      </c>
      <c r="P10" s="570">
        <f>'OBLIGA.R. CORRENT-CAPITAL CAIB'!P10</f>
        <v>406.86</v>
      </c>
      <c r="Q10" s="570">
        <f>'OBLIGA.R. CORRENT-CAPITAL CAIB'!Q10</f>
        <v>440.56</v>
      </c>
      <c r="R10" s="570">
        <f>'OBLIGA.R. CORRENT-CAPITAL CAIB'!R10</f>
        <v>450.40000000000003</v>
      </c>
      <c r="S10" s="570">
        <f>'OBLIGA.R. CORRENT-CAPITAL CAIB'!S10</f>
        <v>581.54999999999995</v>
      </c>
      <c r="T10" s="570">
        <f>'OBLIGA.R. CORRENT-CAPITAL CAIB'!T10</f>
        <v>663.7</v>
      </c>
      <c r="U10" s="570">
        <f>'OBLIGA.R. CORRENT-CAPITAL CAIB'!U10</f>
        <v>624.82000000000005</v>
      </c>
      <c r="V10" s="570">
        <f>'OBLIGA.R. CORRENT-CAPITAL CAIB'!V10</f>
        <v>574.07000000000005</v>
      </c>
      <c r="W10" s="570">
        <f>'OBLIGA.R. CORRENT-CAPITAL CAIB'!W10</f>
        <v>584.99</v>
      </c>
    </row>
    <row r="11" spans="1:34" s="566" customFormat="1" ht="18.7" customHeight="1">
      <c r="A11" s="569" t="s">
        <v>206</v>
      </c>
      <c r="B11" s="571">
        <v>302.77999999999997</v>
      </c>
      <c r="C11" s="571">
        <v>300.97999999999996</v>
      </c>
      <c r="D11" s="571">
        <v>222.5800000000001</v>
      </c>
      <c r="E11" s="571">
        <v>327.54682306000018</v>
      </c>
      <c r="F11" s="571">
        <v>412.56000000000012</v>
      </c>
      <c r="G11" s="570">
        <f>'ESTALVI BRUT-NET CAIB'!G13+'DRETS R. CORRENT-CAPITAL CAIB'!G10</f>
        <v>969.69999999999982</v>
      </c>
      <c r="H11" s="570">
        <f>'ESTALVI BRUT-NET CAIB'!H13+'DRETS R. CORRENT-CAPITAL CAIB'!H10</f>
        <v>191.83000000000035</v>
      </c>
      <c r="I11" s="570">
        <f>'ESTALVI BRUT-NET CAIB'!I13+'DRETS R. CORRENT-CAPITAL CAIB'!I10</f>
        <v>531.74000000000024</v>
      </c>
      <c r="J11" s="570" t="e">
        <f>'ESTALVI BRUT-NET CAIB'!#REF!+'DRETS R. CORRENT-CAPITAL CAIB'!J10</f>
        <v>#REF!</v>
      </c>
      <c r="K11" s="570">
        <f>'ESTALVI BRUT-NET CAIB'!J13+'DRETS R. CORRENT-CAPITAL CAIB'!K10</f>
        <v>-33.470000000000276</v>
      </c>
      <c r="L11" s="570">
        <f>'ESTALVI BRUT-NET CAIB'!K13+'DRETS R. CORRENT-CAPITAL CAIB'!L10</f>
        <v>39.930000000000234</v>
      </c>
      <c r="M11" s="570">
        <f>'ESTALVI BRUT-NET CAIB'!L13+'DRETS R. CORRENT-CAPITAL CAIB'!M10</f>
        <v>-284.41000000000065</v>
      </c>
      <c r="N11" s="570">
        <f>'ESTALVI BRUT-NET CAIB'!M13+'DRETS R. CORRENT-CAPITAL CAIB'!N10</f>
        <v>-636.85833409000031</v>
      </c>
      <c r="O11" s="570">
        <f>'ESTALVI BRUT-NET CAIB'!N13+'DRETS R. CORRENT-CAPITAL CAIB'!O10</f>
        <v>47.540000000000475</v>
      </c>
      <c r="P11" s="570">
        <f>'ESTALVI BRUT-NET CAIB'!N13+'DRETS R. CORRENT-CAPITAL CAIB'!O10</f>
        <v>47.540000000000475</v>
      </c>
      <c r="Q11" s="570">
        <f>'ESTALVI BRUT-NET CAIB'!N13+'DRETS R. CORRENT-CAPITAL CAIB'!O10</f>
        <v>47.540000000000475</v>
      </c>
      <c r="R11" s="570">
        <f>'ESTALVI BRUT-NET CAIB'!N13+'DRETS R. CORRENT-CAPITAL CAIB'!O10</f>
        <v>47.540000000000475</v>
      </c>
      <c r="S11" s="570">
        <f>'ESTALVI BRUT-NET CAIB'!O13+'DRETS R. CORRENT-CAPITAL CAIB'!P10</f>
        <v>4.0299999999996885</v>
      </c>
      <c r="T11" s="570">
        <f>'ESTALVI BRUT-NET CAIB'!P13+'DRETS R. CORRENT-CAPITAL CAIB'!Q10</f>
        <v>66.489999999999739</v>
      </c>
      <c r="U11" s="570">
        <f>'ESTALVI BRUT-NET CAIB'!Q13+'DRETS R. CORRENT-CAPITAL CAIB'!R10</f>
        <v>243.78</v>
      </c>
      <c r="V11" s="570">
        <f>'ESTALVI BRUT-NET CAIB'!R13+'DRETS R. CORRENT-CAPITAL CAIB'!S10</f>
        <v>320.02000000000004</v>
      </c>
      <c r="W11" s="570">
        <f>'ESTALVI BRUT-NET CAIB'!S13+'DRETS R. CORRENT-CAPITAL CAIB'!T10</f>
        <v>433.21999999999935</v>
      </c>
    </row>
    <row r="12" spans="1:34" s="566" customFormat="1" ht="9" customHeight="1" thickBot="1">
      <c r="A12" s="569"/>
      <c r="B12" s="570"/>
      <c r="C12" s="570"/>
      <c r="D12" s="570"/>
      <c r="E12" s="570"/>
      <c r="F12" s="570"/>
      <c r="G12" s="570"/>
      <c r="H12" s="570"/>
      <c r="I12" s="570"/>
      <c r="J12" s="570"/>
      <c r="K12" s="570"/>
      <c r="L12" s="570"/>
      <c r="M12" s="570"/>
      <c r="N12" s="570"/>
      <c r="O12" s="570"/>
      <c r="P12" s="570"/>
      <c r="Q12" s="570"/>
      <c r="R12" s="570"/>
      <c r="S12" s="570"/>
      <c r="T12" s="570"/>
      <c r="U12" s="570"/>
      <c r="V12" s="570"/>
      <c r="W12" s="570"/>
    </row>
    <row r="13" spans="1:34" s="566" customFormat="1" ht="21.75" customHeight="1" thickTop="1" thickBot="1">
      <c r="A13" s="224" t="s">
        <v>249</v>
      </c>
      <c r="B13" s="210">
        <f t="shared" ref="B13:M13" si="0">B11-B10</f>
        <v>22.449999999999989</v>
      </c>
      <c r="C13" s="210">
        <f t="shared" si="0"/>
        <v>8.5699999999999932</v>
      </c>
      <c r="D13" s="210">
        <f t="shared" si="0"/>
        <v>-77.64999999999992</v>
      </c>
      <c r="E13" s="210">
        <f t="shared" si="0"/>
        <v>-121.19317693999983</v>
      </c>
      <c r="F13" s="210">
        <f t="shared" si="0"/>
        <v>-16.959999999999866</v>
      </c>
      <c r="G13" s="210">
        <f>G11-G10</f>
        <v>440.01999999999987</v>
      </c>
      <c r="H13" s="210">
        <f>H11-H10</f>
        <v>-389.60999999999967</v>
      </c>
      <c r="I13" s="210">
        <f t="shared" si="0"/>
        <v>-3.0099999999997635</v>
      </c>
      <c r="J13" s="210" t="e">
        <f t="shared" si="0"/>
        <v>#REF!</v>
      </c>
      <c r="K13" s="210">
        <f>K11-K10</f>
        <v>-716.15000000000032</v>
      </c>
      <c r="L13" s="210">
        <f t="shared" si="0"/>
        <v>-740.75999999999976</v>
      </c>
      <c r="M13" s="210">
        <f t="shared" si="0"/>
        <v>-966.50000000000068</v>
      </c>
      <c r="N13" s="210">
        <f t="shared" ref="N13" si="1">N11-N10</f>
        <v>-1027.7023219300004</v>
      </c>
      <c r="O13" s="210">
        <f>O11-O10</f>
        <v>-374.41999999999956</v>
      </c>
      <c r="P13" s="210">
        <f>P11-P10</f>
        <v>-359.31999999999954</v>
      </c>
      <c r="Q13" s="210">
        <f>Q11-Q10</f>
        <v>-393.01999999999953</v>
      </c>
      <c r="R13" s="210">
        <f>R11-R10</f>
        <v>-402.85999999999956</v>
      </c>
      <c r="S13" s="210">
        <f t="shared" ref="S13:V13" si="2">S11-S10</f>
        <v>-577.52000000000021</v>
      </c>
      <c r="T13" s="210">
        <f t="shared" si="2"/>
        <v>-597.21000000000026</v>
      </c>
      <c r="U13" s="210">
        <f t="shared" si="2"/>
        <v>-381.04000000000008</v>
      </c>
      <c r="V13" s="210">
        <f t="shared" si="2"/>
        <v>-254.05</v>
      </c>
      <c r="W13" s="210">
        <f t="shared" ref="W13" si="3">W11-W10</f>
        <v>-151.77000000000066</v>
      </c>
    </row>
    <row r="14" spans="1:34" ht="13.6" thickTop="1"/>
    <row r="15" spans="1:34">
      <c r="H15" s="443"/>
    </row>
    <row r="23" spans="2:19">
      <c r="P23" s="35"/>
      <c r="Q23" s="35"/>
      <c r="R23" s="35"/>
    </row>
    <row r="27" spans="2:19">
      <c r="S27" s="539"/>
    </row>
    <row r="29" spans="2:19">
      <c r="B29" s="243">
        <v>2013</v>
      </c>
      <c r="D29" s="243">
        <v>3775.53</v>
      </c>
      <c r="E29" s="243">
        <v>3988.22</v>
      </c>
      <c r="F29" s="243">
        <f>E29/D29*100</f>
        <v>105.63338127362249</v>
      </c>
    </row>
    <row r="38" spans="7:16">
      <c r="P38" s="428"/>
    </row>
    <row r="43" spans="7:16">
      <c r="G43" s="35"/>
      <c r="H43" s="35"/>
      <c r="I43" s="35"/>
      <c r="J43" s="35"/>
      <c r="K43" s="35"/>
      <c r="L43" s="35"/>
      <c r="M43" s="35"/>
      <c r="N43" s="35"/>
      <c r="O43" s="35"/>
    </row>
    <row r="45" spans="7:16">
      <c r="G45" s="35"/>
      <c r="H45" s="35"/>
      <c r="I45" s="35"/>
      <c r="J45" s="35"/>
      <c r="K45" s="35"/>
      <c r="L45" s="35"/>
      <c r="M45" s="35"/>
      <c r="N45" s="35"/>
      <c r="O45" s="35"/>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pageSetUpPr fitToPage="1"/>
  </sheetPr>
  <dimension ref="A5:E21"/>
  <sheetViews>
    <sheetView zoomScaleNormal="100" workbookViewId="0">
      <selection activeCell="B24" sqref="B24"/>
    </sheetView>
  </sheetViews>
  <sheetFormatPr baseColWidth="10" defaultRowHeight="12.9"/>
  <cols>
    <col min="2" max="2" width="13.375" customWidth="1"/>
    <col min="3" max="3" width="33.375" customWidth="1"/>
    <col min="4" max="4" width="30.375" customWidth="1"/>
    <col min="5" max="5" width="30" customWidth="1"/>
  </cols>
  <sheetData>
    <row r="5" spans="1:5" ht="18.350000000000001">
      <c r="B5" s="616" t="s">
        <v>250</v>
      </c>
      <c r="C5" s="616"/>
      <c r="D5" s="616"/>
      <c r="E5" s="616"/>
    </row>
    <row r="6" spans="1:5" ht="15.65">
      <c r="A6" s="43" t="s">
        <v>251</v>
      </c>
      <c r="B6" s="617" t="s">
        <v>191</v>
      </c>
      <c r="C6" s="617"/>
      <c r="D6" s="617"/>
      <c r="E6" s="617"/>
    </row>
    <row r="7" spans="1:5" ht="16.3" thickBot="1">
      <c r="B7" s="463"/>
      <c r="C7" s="464"/>
      <c r="D7" s="465"/>
      <c r="E7" s="464"/>
    </row>
    <row r="8" spans="1:5" ht="16.3" thickBot="1">
      <c r="B8" s="466" t="s">
        <v>189</v>
      </c>
      <c r="C8" s="501" t="s">
        <v>209</v>
      </c>
      <c r="D8" s="467" t="s">
        <v>190</v>
      </c>
      <c r="E8" s="468" t="s">
        <v>4</v>
      </c>
    </row>
    <row r="9" spans="1:5" ht="14.3" customHeight="1">
      <c r="B9" s="469"/>
      <c r="C9" s="476" t="s">
        <v>207</v>
      </c>
      <c r="D9" s="477" t="s">
        <v>208</v>
      </c>
      <c r="E9" s="471"/>
    </row>
    <row r="10" spans="1:5" ht="20.05" hidden="1" customHeight="1">
      <c r="B10" s="457">
        <v>2009</v>
      </c>
      <c r="C10" s="470">
        <v>2089174643.4900002</v>
      </c>
      <c r="D10" s="442">
        <v>0</v>
      </c>
      <c r="E10" s="472">
        <f>SUM(C10:D10)</f>
        <v>2089174643.4900002</v>
      </c>
    </row>
    <row r="11" spans="1:5" ht="20.05" hidden="1" customHeight="1">
      <c r="B11" s="473">
        <v>2010</v>
      </c>
      <c r="C11" s="470">
        <v>1831333159.8400002</v>
      </c>
      <c r="D11" s="442">
        <v>429057285.86000019</v>
      </c>
      <c r="E11" s="472">
        <f t="shared" ref="E11:E20" si="0">SUM(C11:D11)</f>
        <v>2260390445.7000003</v>
      </c>
    </row>
    <row r="12" spans="1:5" ht="20.05" customHeight="1">
      <c r="B12" s="473">
        <v>2011</v>
      </c>
      <c r="C12" s="470">
        <v>1687046</v>
      </c>
      <c r="D12" s="442">
        <v>188886.57</v>
      </c>
      <c r="E12" s="472">
        <f t="shared" si="0"/>
        <v>1875932.57</v>
      </c>
    </row>
    <row r="13" spans="1:5" ht="20.05" customHeight="1">
      <c r="B13" s="473">
        <v>2012</v>
      </c>
      <c r="C13" s="470">
        <v>1621022.59</v>
      </c>
      <c r="D13" s="442">
        <v>489645.1</v>
      </c>
      <c r="E13" s="472">
        <f t="shared" si="0"/>
        <v>2110667.69</v>
      </c>
    </row>
    <row r="14" spans="1:5" ht="20.05" customHeight="1">
      <c r="B14" s="504">
        <v>2013</v>
      </c>
      <c r="C14" s="470">
        <v>1518810.86</v>
      </c>
      <c r="D14" s="505">
        <v>553919.56999999995</v>
      </c>
      <c r="E14" s="472">
        <f t="shared" si="0"/>
        <v>2072730.4300000002</v>
      </c>
    </row>
    <row r="15" spans="1:5" ht="20.05" customHeight="1">
      <c r="B15" s="504">
        <v>2014</v>
      </c>
      <c r="C15" s="470">
        <v>1491326.11</v>
      </c>
      <c r="D15" s="505">
        <v>678160.94</v>
      </c>
      <c r="E15" s="472">
        <f t="shared" si="0"/>
        <v>2169487.0499999998</v>
      </c>
    </row>
    <row r="16" spans="1:5" ht="20.05" customHeight="1">
      <c r="B16" s="504">
        <v>2015</v>
      </c>
      <c r="C16" s="470">
        <v>1566868.14</v>
      </c>
      <c r="D16" s="505">
        <v>709705.11</v>
      </c>
      <c r="E16" s="472">
        <f t="shared" si="0"/>
        <v>2276573.25</v>
      </c>
    </row>
    <row r="17" spans="2:5" ht="20.05" customHeight="1">
      <c r="B17" s="473">
        <v>2016</v>
      </c>
      <c r="C17" s="538">
        <v>1512941.9</v>
      </c>
      <c r="D17" s="538">
        <v>777277.91</v>
      </c>
      <c r="E17" s="472">
        <f t="shared" si="0"/>
        <v>2290219.81</v>
      </c>
    </row>
    <row r="18" spans="2:5" ht="20.05" customHeight="1">
      <c r="B18" s="504">
        <v>2017</v>
      </c>
      <c r="C18" s="470">
        <v>1632550.02</v>
      </c>
      <c r="D18" s="505">
        <v>700702.43</v>
      </c>
      <c r="E18" s="472">
        <f t="shared" si="0"/>
        <v>2333252.4500000002</v>
      </c>
    </row>
    <row r="19" spans="2:5" ht="20.05" customHeight="1">
      <c r="B19" s="504">
        <v>2018</v>
      </c>
      <c r="C19" s="470">
        <v>1817901.87</v>
      </c>
      <c r="D19" s="505">
        <v>813939.65</v>
      </c>
      <c r="E19" s="472">
        <f t="shared" si="0"/>
        <v>2631841.52</v>
      </c>
    </row>
    <row r="20" spans="2:5" ht="20.05" customHeight="1">
      <c r="B20" s="504">
        <v>2019</v>
      </c>
      <c r="C20" s="470">
        <v>1956774.02</v>
      </c>
      <c r="D20" s="505">
        <v>824285.82</v>
      </c>
      <c r="E20" s="472">
        <f t="shared" si="0"/>
        <v>2781059.84</v>
      </c>
    </row>
    <row r="21" spans="2:5">
      <c r="E21" s="428"/>
    </row>
  </sheetData>
  <mergeCells count="2">
    <mergeCell ref="B5:E5"/>
    <mergeCell ref="B6:E6"/>
  </mergeCells>
  <pageMargins left="0.70866141732283472" right="0.70866141732283472" top="0.74803149606299213" bottom="0.74803149606299213" header="0.31496062992125984" footer="0.31496062992125984"/>
  <pageSetup paperSize="9" orientation="landscape" horizontalDpi="300" verticalDpi="300" r:id="rId1"/>
  <headerFooter>
    <oddFooter>&amp;C&amp;8Font: Intervenció General&amp;R&amp;P</oddFooter>
  </headerFooter>
  <drawing r:id="rId2"/>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50"/>
    <pageSetUpPr fitToPage="1"/>
  </sheetPr>
  <dimension ref="B5:H28"/>
  <sheetViews>
    <sheetView topLeftCell="B1" zoomScaleNormal="100" zoomScalePageLayoutView="150" workbookViewId="0">
      <selection activeCell="F21" sqref="F21"/>
    </sheetView>
  </sheetViews>
  <sheetFormatPr baseColWidth="10" defaultRowHeight="12.9"/>
  <cols>
    <col min="1" max="1" width="8.375" customWidth="1"/>
    <col min="2" max="2" width="9.875" customWidth="1"/>
    <col min="3" max="3" width="28.125" customWidth="1"/>
    <col min="4" max="4" width="25.75" customWidth="1"/>
    <col min="5" max="5" width="24.375" customWidth="1"/>
    <col min="6" max="6" width="25" customWidth="1"/>
    <col min="7" max="7" width="12.375" style="74" customWidth="1"/>
    <col min="8" max="8" width="15.25" bestFit="1" customWidth="1"/>
  </cols>
  <sheetData>
    <row r="5" spans="2:8" ht="18.350000000000001">
      <c r="B5" s="618" t="s">
        <v>198</v>
      </c>
      <c r="C5" s="618"/>
      <c r="D5" s="618"/>
      <c r="E5" s="618"/>
      <c r="F5" s="618"/>
    </row>
    <row r="6" spans="2:8" ht="15.65">
      <c r="B6" s="619" t="s">
        <v>252</v>
      </c>
      <c r="C6" s="619"/>
      <c r="D6" s="619"/>
      <c r="E6" s="619"/>
      <c r="F6" s="619"/>
    </row>
    <row r="7" spans="2:8" ht="15.65">
      <c r="B7" s="441"/>
      <c r="C7" s="456"/>
      <c r="D7" s="456"/>
      <c r="E7" s="456"/>
      <c r="F7" s="456"/>
    </row>
    <row r="8" spans="2:8" ht="15.65">
      <c r="B8" s="481" t="s">
        <v>189</v>
      </c>
      <c r="C8" s="500" t="s">
        <v>210</v>
      </c>
      <c r="D8" s="482" t="s">
        <v>217</v>
      </c>
      <c r="E8" s="483" t="s">
        <v>192</v>
      </c>
      <c r="F8" s="482" t="s">
        <v>4</v>
      </c>
    </row>
    <row r="9" spans="2:8" ht="15.65">
      <c r="B9" s="484"/>
      <c r="C9" s="458"/>
      <c r="D9" s="458"/>
      <c r="E9" s="458"/>
      <c r="F9" s="485"/>
    </row>
    <row r="10" spans="2:8" ht="20.05" hidden="1" customHeight="1">
      <c r="B10" s="484">
        <v>2009</v>
      </c>
      <c r="C10" s="459">
        <v>2089174643.4900002</v>
      </c>
      <c r="D10" s="459">
        <v>104439860.323</v>
      </c>
      <c r="E10" s="459">
        <v>-69797142.849999994</v>
      </c>
      <c r="F10" s="480">
        <f>SUM(C10:E10)</f>
        <v>2123817360.9630003</v>
      </c>
      <c r="G10" s="478" t="s">
        <v>122</v>
      </c>
      <c r="H10" s="35"/>
    </row>
    <row r="11" spans="2:8" ht="20.05" hidden="1" customHeight="1">
      <c r="B11" s="479">
        <v>2010</v>
      </c>
      <c r="C11" s="459">
        <v>1831333160.1600001</v>
      </c>
      <c r="D11" s="459">
        <v>0</v>
      </c>
      <c r="E11" s="459"/>
      <c r="F11" s="480">
        <f t="shared" ref="F11:F21" si="0">SUM(C11:E11)</f>
        <v>1831333160.1600001</v>
      </c>
      <c r="G11" s="478" t="s">
        <v>123</v>
      </c>
      <c r="H11" s="35"/>
    </row>
    <row r="12" spans="2:8" ht="20.05" customHeight="1">
      <c r="B12" s="479">
        <v>2012</v>
      </c>
      <c r="C12" s="459">
        <v>1621022.59</v>
      </c>
      <c r="D12" s="459">
        <v>429057.28000000003</v>
      </c>
      <c r="E12" s="459">
        <f>-68085.81+37283.88</f>
        <v>-30801.93</v>
      </c>
      <c r="F12" s="480">
        <f t="shared" ref="F12:F20" si="1">SUM(C12:E12)</f>
        <v>2019277.9400000002</v>
      </c>
      <c r="G12" s="478" t="s">
        <v>124</v>
      </c>
      <c r="H12" s="35"/>
    </row>
    <row r="13" spans="2:8" ht="20.05" customHeight="1">
      <c r="B13" s="479">
        <v>2013</v>
      </c>
      <c r="C13" s="459">
        <v>1518810.86</v>
      </c>
      <c r="D13" s="459">
        <v>188886.57</v>
      </c>
      <c r="E13" s="461">
        <v>-30801.93</v>
      </c>
      <c r="F13" s="480">
        <f t="shared" si="1"/>
        <v>1676895.5000000002</v>
      </c>
      <c r="G13" s="478" t="s">
        <v>125</v>
      </c>
      <c r="H13" s="35"/>
    </row>
    <row r="14" spans="2:8" ht="20.05" customHeight="1">
      <c r="B14" s="479">
        <v>2014</v>
      </c>
      <c r="C14" s="459">
        <v>1491326.11</v>
      </c>
      <c r="D14" s="459">
        <v>489645.1</v>
      </c>
      <c r="E14" s="461">
        <f>-68085.81+37283.88</f>
        <v>-30801.93</v>
      </c>
      <c r="F14" s="480">
        <f t="shared" si="1"/>
        <v>1950169.28</v>
      </c>
      <c r="G14" s="478" t="s">
        <v>125</v>
      </c>
      <c r="H14" s="35"/>
    </row>
    <row r="15" spans="2:8" ht="20.05" customHeight="1">
      <c r="B15" s="486">
        <v>2015</v>
      </c>
      <c r="C15" s="487">
        <v>1566868.14</v>
      </c>
      <c r="D15" s="488">
        <v>553919.56999999995</v>
      </c>
      <c r="E15" s="489">
        <v>-12683.13</v>
      </c>
      <c r="F15" s="480">
        <f t="shared" si="1"/>
        <v>2108104.58</v>
      </c>
      <c r="G15" s="478" t="s">
        <v>125</v>
      </c>
      <c r="H15" s="35"/>
    </row>
    <row r="16" spans="2:8" ht="20.05" customHeight="1">
      <c r="B16" s="486">
        <v>2016</v>
      </c>
      <c r="C16" s="487">
        <v>1512941.9</v>
      </c>
      <c r="D16" s="488">
        <v>678160.94</v>
      </c>
      <c r="E16" s="489">
        <v>-35675.56</v>
      </c>
      <c r="F16" s="480">
        <f t="shared" si="1"/>
        <v>2155427.2799999998</v>
      </c>
      <c r="G16" s="478" t="s">
        <v>125</v>
      </c>
      <c r="H16" s="35"/>
    </row>
    <row r="17" spans="2:8" ht="20.05" customHeight="1">
      <c r="B17" s="486">
        <v>2017</v>
      </c>
      <c r="C17" s="580">
        <v>1632550.02</v>
      </c>
      <c r="D17" s="488">
        <v>709705.11</v>
      </c>
      <c r="E17" s="489">
        <v>-12683.16</v>
      </c>
      <c r="F17" s="480">
        <f t="shared" si="1"/>
        <v>2329571.9699999997</v>
      </c>
      <c r="G17" s="478" t="s">
        <v>125</v>
      </c>
      <c r="H17" s="35"/>
    </row>
    <row r="18" spans="2:8" ht="20.05" customHeight="1">
      <c r="B18" s="486">
        <v>2018</v>
      </c>
      <c r="C18" s="487">
        <v>1817901.87</v>
      </c>
      <c r="D18" s="488">
        <v>777277.91</v>
      </c>
      <c r="E18" s="489">
        <v>-12683.16</v>
      </c>
      <c r="F18" s="480">
        <f t="shared" si="1"/>
        <v>2582496.62</v>
      </c>
      <c r="G18" s="478" t="s">
        <v>125</v>
      </c>
      <c r="H18" s="35"/>
    </row>
    <row r="19" spans="2:8" ht="19.55" customHeight="1">
      <c r="B19" s="486">
        <v>2019</v>
      </c>
      <c r="C19" s="487">
        <v>1956774.02</v>
      </c>
      <c r="D19" s="488">
        <v>700702.43</v>
      </c>
      <c r="E19" s="489">
        <v>-12683.07</v>
      </c>
      <c r="F19" s="480">
        <f t="shared" si="1"/>
        <v>2644793.3800000004</v>
      </c>
      <c r="G19" s="478" t="s">
        <v>125</v>
      </c>
      <c r="H19" s="35"/>
    </row>
    <row r="20" spans="2:8" ht="19.55" customHeight="1">
      <c r="B20" s="486">
        <v>2020</v>
      </c>
      <c r="C20" s="487">
        <v>2096063.14</v>
      </c>
      <c r="D20" s="577">
        <v>813939.65</v>
      </c>
      <c r="E20" s="489">
        <v>-12683.16</v>
      </c>
      <c r="F20" s="480">
        <f t="shared" si="1"/>
        <v>2897319.63</v>
      </c>
      <c r="G20" s="478" t="s">
        <v>125</v>
      </c>
      <c r="H20" s="35"/>
    </row>
    <row r="21" spans="2:8" ht="19.55" customHeight="1">
      <c r="B21" s="486">
        <v>2021</v>
      </c>
      <c r="C21" s="487">
        <f>1364099.98+1374153.03+424273.42-743531.29-348196.73</f>
        <v>2070798.4099999997</v>
      </c>
      <c r="D21" s="459">
        <f>153358.14+63362.04+5221.72+4048.37-78173+676468.55</f>
        <v>824285.82000000007</v>
      </c>
      <c r="E21" s="579">
        <v>-12683.16</v>
      </c>
      <c r="F21" s="480">
        <f t="shared" si="0"/>
        <v>2882401.0699999994</v>
      </c>
      <c r="G21" s="478" t="s">
        <v>125</v>
      </c>
      <c r="H21" s="35"/>
    </row>
    <row r="22" spans="2:8" ht="15.65">
      <c r="D22" s="578"/>
      <c r="F22" s="428"/>
    </row>
    <row r="23" spans="2:8" ht="15.65">
      <c r="B23" s="460" t="s">
        <v>122</v>
      </c>
      <c r="C23" s="462" t="s">
        <v>211</v>
      </c>
    </row>
    <row r="24" spans="2:8" ht="15.65">
      <c r="B24" s="460" t="s">
        <v>123</v>
      </c>
      <c r="C24" s="462" t="s">
        <v>212</v>
      </c>
    </row>
    <row r="25" spans="2:8" ht="13.6">
      <c r="C25" s="462" t="s">
        <v>213</v>
      </c>
    </row>
    <row r="26" spans="2:8" ht="13.6">
      <c r="C26" s="462" t="s">
        <v>214</v>
      </c>
    </row>
    <row r="27" spans="2:8" ht="15.65">
      <c r="B27" s="460" t="s">
        <v>126</v>
      </c>
      <c r="C27" s="462" t="s">
        <v>215</v>
      </c>
    </row>
    <row r="28" spans="2:8" ht="15.65">
      <c r="B28" s="460" t="s">
        <v>125</v>
      </c>
      <c r="C28" s="462" t="s">
        <v>216</v>
      </c>
    </row>
  </sheetData>
  <mergeCells count="2">
    <mergeCell ref="B5:F5"/>
    <mergeCell ref="B6:F6"/>
  </mergeCells>
  <pageMargins left="0.70866141732283472" right="0.70866141732283472" top="0.74803149606299213" bottom="0.74803149606299213" header="0.31496062992125984" footer="0.31496062992125984"/>
  <pageSetup paperSize="9" scale="86" orientation="landscape" horizontalDpi="300" verticalDpi="300" r:id="rId1"/>
  <headerFooter>
    <oddFooter>&amp;C&amp;8Font: Intervenció General&amp;R&amp;P</oddFooter>
  </headerFooter>
  <drawing r:id="rId2"/>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P127"/>
  <sheetViews>
    <sheetView showGridLines="0" topLeftCell="A88" zoomScale="75" zoomScaleNormal="75" zoomScalePageLayoutView="75" workbookViewId="0">
      <selection activeCell="I8" sqref="I8"/>
    </sheetView>
  </sheetViews>
  <sheetFormatPr baseColWidth="10" defaultRowHeight="15.65"/>
  <cols>
    <col min="1" max="1" width="9" style="7" customWidth="1"/>
    <col min="2" max="2" width="42.25" style="7" customWidth="1"/>
    <col min="3" max="3" width="25.375" style="7" customWidth="1"/>
    <col min="4" max="4" width="22.375" style="7" customWidth="1"/>
    <col min="5" max="5" width="25.375" style="7" customWidth="1"/>
    <col min="6" max="6" width="13.375" style="7" customWidth="1"/>
    <col min="7" max="7" width="47.875" style="7" customWidth="1"/>
    <col min="8" max="8" width="4.75" style="7" customWidth="1"/>
    <col min="9" max="9" width="25.375" style="7" customWidth="1"/>
    <col min="10" max="10" width="13.375" style="7" customWidth="1"/>
    <col min="11" max="16" width="10.875" style="428"/>
  </cols>
  <sheetData>
    <row r="1" spans="1:12" ht="18" customHeight="1">
      <c r="A1" s="620" t="s">
        <v>21</v>
      </c>
      <c r="B1" s="620"/>
      <c r="C1" s="620"/>
      <c r="D1" s="620"/>
      <c r="E1" s="620"/>
      <c r="F1" s="5"/>
      <c r="G1" s="5"/>
      <c r="H1" s="5"/>
      <c r="I1" s="5"/>
      <c r="J1" s="6"/>
    </row>
    <row r="2" spans="1:12" ht="27" customHeight="1">
      <c r="A2" s="8"/>
      <c r="B2" s="8"/>
      <c r="C2" s="9"/>
      <c r="D2" s="108" t="s">
        <v>0</v>
      </c>
      <c r="E2" s="9"/>
      <c r="F2" s="9"/>
      <c r="G2" s="9"/>
      <c r="H2" s="9"/>
      <c r="I2" s="9"/>
      <c r="J2"/>
    </row>
    <row r="3" spans="1:12" ht="18" customHeight="1">
      <c r="A3" s="11"/>
      <c r="B3" s="11"/>
      <c r="C3" s="107" t="s">
        <v>1</v>
      </c>
      <c r="D3" s="107" t="s">
        <v>2</v>
      </c>
      <c r="E3" s="107" t="s">
        <v>3</v>
      </c>
      <c r="F3" s="107"/>
      <c r="G3" s="12"/>
      <c r="H3" s="12"/>
      <c r="I3" s="12"/>
      <c r="J3"/>
      <c r="K3" s="582"/>
      <c r="L3" s="582"/>
    </row>
    <row r="4" spans="1:12" ht="9" customHeight="1" thickBot="1">
      <c r="A4" s="78"/>
      <c r="B4" s="78"/>
      <c r="C4" s="81"/>
      <c r="D4" s="81"/>
      <c r="E4" s="82"/>
      <c r="F4" s="110"/>
      <c r="G4" s="14"/>
      <c r="H4" s="14"/>
      <c r="I4" s="14"/>
      <c r="J4"/>
    </row>
    <row r="5" spans="1:12" ht="9" customHeight="1" thickTop="1">
      <c r="A5" s="13"/>
      <c r="B5" s="13"/>
      <c r="C5" s="83"/>
      <c r="D5" s="83"/>
      <c r="E5" s="80"/>
      <c r="F5" s="80"/>
      <c r="G5" s="12"/>
      <c r="H5" s="12"/>
      <c r="I5" s="12"/>
      <c r="J5"/>
    </row>
    <row r="6" spans="1:12" ht="18" customHeight="1">
      <c r="A6" s="113">
        <v>1997</v>
      </c>
      <c r="B6" s="236" t="s">
        <v>110</v>
      </c>
      <c r="C6" s="114">
        <f>SUM(C7:C8)</f>
        <v>16.347529239238877</v>
      </c>
      <c r="D6" s="114">
        <f>SUM(D7:D8)</f>
        <v>17.558620244491728</v>
      </c>
      <c r="E6" s="114">
        <f t="shared" ref="E6:E93" si="0">D6/C6*100</f>
        <v>107.40840397058827</v>
      </c>
      <c r="F6" s="84"/>
      <c r="G6" s="621"/>
      <c r="I6" s="16"/>
      <c r="J6"/>
    </row>
    <row r="7" spans="1:12" ht="18" customHeight="1">
      <c r="A7" s="113"/>
      <c r="B7" s="41" t="s">
        <v>111</v>
      </c>
      <c r="C7" s="123"/>
      <c r="D7" s="123"/>
      <c r="E7" s="114"/>
      <c r="F7" s="84"/>
      <c r="G7" s="621"/>
      <c r="I7" s="16"/>
      <c r="J7"/>
    </row>
    <row r="8" spans="1:12" ht="18" customHeight="1">
      <c r="A8" s="113"/>
      <c r="B8" s="33" t="s">
        <v>112</v>
      </c>
      <c r="C8" s="123">
        <f>(2720000000/166.386)/1000000</f>
        <v>16.347529239238877</v>
      </c>
      <c r="D8" s="123">
        <f>(2921508588/166.386)/1000000</f>
        <v>17.558620244491728</v>
      </c>
      <c r="E8" s="123">
        <f t="shared" si="0"/>
        <v>107.40840397058827</v>
      </c>
      <c r="F8" s="84"/>
      <c r="G8" s="621"/>
      <c r="I8" s="16"/>
      <c r="J8"/>
    </row>
    <row r="9" spans="1:12" ht="18" customHeight="1">
      <c r="A9" s="113"/>
      <c r="B9" s="164" t="s">
        <v>113</v>
      </c>
      <c r="C9" s="114">
        <f>SUM(C10:C13)</f>
        <v>128.92912865265109</v>
      </c>
      <c r="D9" s="114">
        <f>SUM(D10:D13)</f>
        <v>156.06763916435278</v>
      </c>
      <c r="E9" s="114">
        <f t="shared" si="0"/>
        <v>121.04916925702318</v>
      </c>
      <c r="F9" s="84"/>
      <c r="G9" s="621"/>
      <c r="I9" s="16"/>
      <c r="J9"/>
    </row>
    <row r="10" spans="1:12" ht="18" customHeight="1">
      <c r="A10" s="113"/>
      <c r="B10" s="33" t="s">
        <v>114</v>
      </c>
      <c r="C10" s="123">
        <f>(4000000000/166.386)/1000000</f>
        <v>24.040484175351292</v>
      </c>
      <c r="D10" s="123">
        <f>(5028730300/166.386)/1000000</f>
        <v>30.223277799814888</v>
      </c>
      <c r="E10" s="123">
        <f t="shared" si="0"/>
        <v>125.71825749999999</v>
      </c>
      <c r="F10" s="84"/>
      <c r="G10" s="621"/>
      <c r="I10" s="16"/>
      <c r="J10"/>
    </row>
    <row r="11" spans="1:12" ht="18" customHeight="1">
      <c r="A11" s="113"/>
      <c r="B11" s="33" t="s">
        <v>115</v>
      </c>
      <c r="C11" s="123">
        <f>(12550001000/166.386)/1000000</f>
        <v>75.427025110285726</v>
      </c>
      <c r="D11" s="123">
        <f>((14529525943+9582756)/166.386)/1000000</f>
        <v>87.381803150505448</v>
      </c>
      <c r="E11" s="123">
        <f t="shared" si="0"/>
        <v>115.84946247414641</v>
      </c>
      <c r="F11" s="84"/>
      <c r="G11" s="621"/>
      <c r="I11" s="16"/>
      <c r="J11"/>
    </row>
    <row r="12" spans="1:12" ht="18" customHeight="1">
      <c r="A12" s="113"/>
      <c r="B12" s="33" t="s">
        <v>116</v>
      </c>
      <c r="C12" s="123">
        <f>(4900001000/166.386)/1000000</f>
        <v>29.449599124926376</v>
      </c>
      <c r="D12" s="123">
        <f>((5764066381+634196770)/166.386)/1000000</f>
        <v>38.454336007837199</v>
      </c>
      <c r="E12" s="123">
        <f t="shared" si="0"/>
        <v>130.57677235167912</v>
      </c>
      <c r="F12" s="84"/>
      <c r="G12" s="621"/>
      <c r="I12" s="16"/>
      <c r="J12"/>
    </row>
    <row r="13" spans="1:12" ht="18" customHeight="1">
      <c r="A13" s="113"/>
      <c r="B13" s="33" t="s">
        <v>117</v>
      </c>
      <c r="C13" s="123">
        <f>(2000000/166.386)/1000000</f>
        <v>1.2020242087675647E-2</v>
      </c>
      <c r="D13" s="123">
        <f>(1368060/166.386)/1000000</f>
        <v>8.2222061952327737E-3</v>
      </c>
      <c r="E13" s="123">
        <f t="shared" si="0"/>
        <v>68.40300000000002</v>
      </c>
      <c r="F13" s="84"/>
      <c r="G13" s="621"/>
      <c r="I13" s="16"/>
      <c r="J13"/>
    </row>
    <row r="14" spans="1:12" ht="18" customHeight="1">
      <c r="A14" s="113">
        <v>1998</v>
      </c>
      <c r="B14" s="236" t="s">
        <v>110</v>
      </c>
      <c r="C14" s="114">
        <f>SUM(C15:C16)</f>
        <v>155.60203382496127</v>
      </c>
      <c r="D14" s="114">
        <f>SUM(D15:D16)</f>
        <v>159.95932408976716</v>
      </c>
      <c r="E14" s="114">
        <f t="shared" si="0"/>
        <v>102.80027847817688</v>
      </c>
      <c r="F14" s="84"/>
      <c r="G14" s="621"/>
      <c r="H14" s="109"/>
      <c r="I14" s="16"/>
      <c r="J14"/>
    </row>
    <row r="15" spans="1:12" ht="18" customHeight="1">
      <c r="A15" s="113"/>
      <c r="B15" s="41" t="s">
        <v>111</v>
      </c>
      <c r="C15" s="123">
        <f>(23040000000/166.386)/1000000</f>
        <v>138.47318885002346</v>
      </c>
      <c r="D15" s="123">
        <f>(23039800000/166.386)/1000000</f>
        <v>138.47198682581467</v>
      </c>
      <c r="E15" s="123">
        <f t="shared" si="0"/>
        <v>99.999131944444429</v>
      </c>
      <c r="F15" s="84"/>
      <c r="G15" s="621"/>
      <c r="H15" s="109"/>
      <c r="I15" s="16"/>
      <c r="J15"/>
    </row>
    <row r="16" spans="1:12" ht="18" customHeight="1">
      <c r="A16" s="113"/>
      <c r="B16" s="33" t="s">
        <v>112</v>
      </c>
      <c r="C16" s="98">
        <f>(2850000000/166.386)/1000000</f>
        <v>17.128844974937795</v>
      </c>
      <c r="D16" s="123">
        <f>(3575192098/166.386)/1000000</f>
        <v>21.487337263952497</v>
      </c>
      <c r="E16" s="123">
        <f t="shared" si="0"/>
        <v>125.44533677192985</v>
      </c>
      <c r="F16" s="84"/>
      <c r="G16" s="621"/>
      <c r="H16" s="109"/>
      <c r="I16" s="16"/>
      <c r="J16"/>
    </row>
    <row r="17" spans="1:10" ht="18" customHeight="1">
      <c r="A17" s="113"/>
      <c r="B17" s="164" t="s">
        <v>113</v>
      </c>
      <c r="C17" s="114">
        <f>SUM(C18:C21)</f>
        <v>156.33747430673256</v>
      </c>
      <c r="D17" s="114">
        <f>SUM(D18:D21)</f>
        <v>191.54296849494548</v>
      </c>
      <c r="E17" s="114">
        <f t="shared" si="0"/>
        <v>122.51890939413548</v>
      </c>
      <c r="F17" s="84"/>
      <c r="G17" s="621"/>
      <c r="H17" s="109"/>
      <c r="I17" s="16"/>
      <c r="J17"/>
    </row>
    <row r="18" spans="1:10" ht="18" customHeight="1">
      <c r="A18" s="113"/>
      <c r="B18" s="33" t="s">
        <v>114</v>
      </c>
      <c r="C18" s="123">
        <f>(5340305000/166.386)/1000000</f>
        <v>32.095879461012345</v>
      </c>
      <c r="D18" s="123">
        <f>(5532018861/166.386)/1000000</f>
        <v>33.248102971403846</v>
      </c>
      <c r="E18" s="123">
        <f t="shared" si="0"/>
        <v>103.58994216622459</v>
      </c>
      <c r="F18" s="84"/>
      <c r="G18" s="621"/>
      <c r="H18" s="109"/>
      <c r="I18" s="16"/>
      <c r="J18"/>
    </row>
    <row r="19" spans="1:10" ht="18" customHeight="1">
      <c r="A19" s="113"/>
      <c r="B19" s="33" t="s">
        <v>115</v>
      </c>
      <c r="C19" s="123">
        <f>(14370001000/166.386)/1000000</f>
        <v>86.365445410070564</v>
      </c>
      <c r="D19" s="123">
        <f>((18761396645+6156932)/166.386)/1000000</f>
        <v>112.79526869448151</v>
      </c>
      <c r="E19" s="123">
        <f t="shared" si="0"/>
        <v>130.60231225453637</v>
      </c>
      <c r="F19" s="84"/>
      <c r="G19" s="621"/>
      <c r="H19" s="109"/>
      <c r="I19" s="16"/>
      <c r="J19"/>
    </row>
    <row r="20" spans="1:10" ht="18" customHeight="1">
      <c r="A20" s="113"/>
      <c r="B20" s="33" t="s">
        <v>116</v>
      </c>
      <c r="C20" s="123">
        <f>(6300001000/166.386)/1000000</f>
        <v>37.863768586299329</v>
      </c>
      <c r="D20" s="123">
        <f>((7135588433+429113238)/166.386)/1000000</f>
        <v>45.464772703232242</v>
      </c>
      <c r="E20" s="123">
        <f t="shared" si="0"/>
        <v>120.07461063895069</v>
      </c>
      <c r="F20" s="84"/>
      <c r="G20" s="621"/>
      <c r="H20" s="109"/>
      <c r="I20" s="16"/>
      <c r="J20"/>
    </row>
    <row r="21" spans="1:10" ht="18" customHeight="1">
      <c r="A21" s="113"/>
      <c r="B21" s="33" t="s">
        <v>117</v>
      </c>
      <c r="C21" s="123">
        <f>(2060000/166.386)/1000000</f>
        <v>1.2380849350305916E-2</v>
      </c>
      <c r="D21" s="123">
        <f>(5794247/166.386)/1000000</f>
        <v>3.4824125827894174E-2</v>
      </c>
      <c r="E21" s="123">
        <f t="shared" si="0"/>
        <v>281.27412621359224</v>
      </c>
      <c r="F21" s="84"/>
      <c r="G21" s="621"/>
      <c r="H21" s="109"/>
      <c r="I21" s="16"/>
      <c r="J21"/>
    </row>
    <row r="22" spans="1:10" ht="18" customHeight="1">
      <c r="A22" s="113">
        <v>1999</v>
      </c>
      <c r="B22" s="236" t="s">
        <v>110</v>
      </c>
      <c r="C22" s="114">
        <f>SUM(C23:C24)</f>
        <v>258.71167045304293</v>
      </c>
      <c r="D22" s="114">
        <f>SUM(D23:D24)</f>
        <v>270.31642054018965</v>
      </c>
      <c r="E22" s="114">
        <f t="shared" si="0"/>
        <v>104.48559203642614</v>
      </c>
      <c r="F22" s="84"/>
      <c r="G22" s="621"/>
      <c r="H22" s="109"/>
      <c r="I22" s="16"/>
      <c r="J22"/>
    </row>
    <row r="23" spans="1:10" ht="18" customHeight="1">
      <c r="A23" s="113"/>
      <c r="B23" s="41" t="s">
        <v>111</v>
      </c>
      <c r="C23" s="123">
        <f>(39546000000/166.386)/1000000</f>
        <v>237.67624679961057</v>
      </c>
      <c r="D23" s="123">
        <f>(40730218200/166.386)/1000000</f>
        <v>244.79354152392628</v>
      </c>
      <c r="E23" s="123">
        <f t="shared" si="0"/>
        <v>102.99453345471095</v>
      </c>
      <c r="F23" s="84"/>
      <c r="G23" s="621"/>
      <c r="H23" s="109"/>
      <c r="I23" s="16"/>
      <c r="J23"/>
    </row>
    <row r="24" spans="1:10" ht="18" customHeight="1">
      <c r="A24" s="113"/>
      <c r="B24" s="33" t="s">
        <v>112</v>
      </c>
      <c r="C24" s="123">
        <f>(3500000000/166.386)/1000000</f>
        <v>21.035423653432382</v>
      </c>
      <c r="D24" s="123">
        <f>(4246649748/166.386)/1000000</f>
        <v>25.522879016263389</v>
      </c>
      <c r="E24" s="123">
        <f t="shared" si="0"/>
        <v>121.33284994285714</v>
      </c>
      <c r="F24" s="84"/>
      <c r="G24" s="621"/>
      <c r="H24" s="109"/>
      <c r="I24" s="16"/>
      <c r="J24"/>
    </row>
    <row r="25" spans="1:10" ht="18" customHeight="1">
      <c r="A25" s="113"/>
      <c r="B25" s="164" t="s">
        <v>113</v>
      </c>
      <c r="C25" s="114">
        <f>SUM(C26:C29)</f>
        <v>237.82050172490474</v>
      </c>
      <c r="D25" s="114">
        <f>SUM(D26:D29)</f>
        <v>271.54965782577864</v>
      </c>
      <c r="E25" s="114">
        <f t="shared" si="0"/>
        <v>114.18261077419203</v>
      </c>
      <c r="F25" s="84"/>
      <c r="G25" s="621"/>
      <c r="H25" s="109"/>
      <c r="I25" s="16"/>
      <c r="J25"/>
    </row>
    <row r="26" spans="1:10" ht="18" customHeight="1">
      <c r="A26" s="113"/>
      <c r="B26" s="33" t="s">
        <v>114</v>
      </c>
      <c r="C26" s="123">
        <f>(6050000000/166.386)/1000000</f>
        <v>36.361232315218828</v>
      </c>
      <c r="D26" s="123">
        <f>(7232485045/166.386)/1000000</f>
        <v>43.468110568196849</v>
      </c>
      <c r="E26" s="123">
        <f t="shared" si="0"/>
        <v>119.5452073553719</v>
      </c>
      <c r="F26" s="84"/>
      <c r="G26" s="621"/>
      <c r="H26" s="109"/>
      <c r="I26" s="16"/>
      <c r="J26"/>
    </row>
    <row r="27" spans="1:10" ht="18" customHeight="1">
      <c r="A27" s="113"/>
      <c r="B27" s="33" t="s">
        <v>115</v>
      </c>
      <c r="C27" s="123">
        <f>(19250001000/166.386)/1000000</f>
        <v>115.69483610399914</v>
      </c>
      <c r="D27" s="123">
        <f>((21299868204+5193697)/166.386)/1000000</f>
        <v>128.04600087146756</v>
      </c>
      <c r="E27" s="123">
        <f t="shared" si="0"/>
        <v>110.67564048957712</v>
      </c>
      <c r="F27" s="84"/>
      <c r="G27" s="621"/>
      <c r="H27" s="109"/>
      <c r="I27" s="16"/>
      <c r="J27"/>
    </row>
    <row r="28" spans="1:10" ht="18" customHeight="1">
      <c r="A28" s="113"/>
      <c r="B28" s="33" t="s">
        <v>116</v>
      </c>
      <c r="C28" s="123">
        <f>(7750001000/166.386)/1000000</f>
        <v>46.578444099864171</v>
      </c>
      <c r="D28" s="123">
        <f>((8968834602+398663101)/166.386)/1000000</f>
        <v>56.299795072902768</v>
      </c>
      <c r="E28" s="123">
        <f t="shared" si="0"/>
        <v>120.87092250697773</v>
      </c>
      <c r="F28" s="84"/>
      <c r="G28" s="621"/>
      <c r="H28" s="109"/>
      <c r="I28" s="16"/>
      <c r="J28"/>
    </row>
    <row r="29" spans="1:10" ht="18" customHeight="1">
      <c r="A29" s="113"/>
      <c r="B29" s="33" t="s">
        <v>117</v>
      </c>
      <c r="C29" s="123">
        <f>(6520000000/166.386)/1000000</f>
        <v>39.185989205822608</v>
      </c>
      <c r="D29" s="123">
        <f>(7277016718/166.386)/1000000</f>
        <v>43.735751313211452</v>
      </c>
      <c r="E29" s="123">
        <f t="shared" si="0"/>
        <v>111.61068585889571</v>
      </c>
      <c r="F29" s="84"/>
      <c r="G29" s="621"/>
      <c r="H29" s="109"/>
      <c r="I29" s="16"/>
      <c r="J29"/>
    </row>
    <row r="30" spans="1:10" ht="18" customHeight="1">
      <c r="A30" s="113">
        <v>2000</v>
      </c>
      <c r="B30" s="236" t="s">
        <v>110</v>
      </c>
      <c r="C30" s="114">
        <f>SUM(C31:C32)</f>
        <v>274.59642037190628</v>
      </c>
      <c r="D30" s="114">
        <f>SUM(D31:D32)</f>
        <v>277.90290433089325</v>
      </c>
      <c r="E30" s="114">
        <f t="shared" si="0"/>
        <v>101.20412493160281</v>
      </c>
      <c r="F30" s="84"/>
      <c r="G30" s="621"/>
      <c r="H30" s="109"/>
      <c r="I30" s="17"/>
      <c r="J30"/>
    </row>
    <row r="31" spans="1:10" ht="18" customHeight="1">
      <c r="A31" s="113"/>
      <c r="B31" s="41" t="s">
        <v>111</v>
      </c>
      <c r="C31" s="123">
        <f>(41839000000/166.386)/1000000</f>
        <v>251.45745435313066</v>
      </c>
      <c r="D31" s="123">
        <f>(41840725000/166.386)/1000000</f>
        <v>251.46782181193132</v>
      </c>
      <c r="E31" s="123">
        <f t="shared" si="0"/>
        <v>100.00412294748919</v>
      </c>
      <c r="F31" s="84"/>
      <c r="G31" s="621"/>
      <c r="H31" s="109"/>
      <c r="I31" s="17"/>
      <c r="J31"/>
    </row>
    <row r="32" spans="1:10" ht="18" customHeight="1">
      <c r="A32" s="113"/>
      <c r="B32" s="33" t="s">
        <v>112</v>
      </c>
      <c r="C32" s="123">
        <f>(3850000000/166.386)/1000000</f>
        <v>23.138966018775619</v>
      </c>
      <c r="D32" s="123">
        <f>(4398427640/166.386)/1000000</f>
        <v>26.435082518961934</v>
      </c>
      <c r="E32" s="123">
        <f t="shared" si="0"/>
        <v>114.24487376623378</v>
      </c>
      <c r="F32" s="84"/>
      <c r="G32" s="621"/>
      <c r="H32" s="109"/>
      <c r="I32" s="17"/>
      <c r="J32"/>
    </row>
    <row r="33" spans="1:10" ht="18" customHeight="1">
      <c r="A33" s="113"/>
      <c r="B33" s="164" t="s">
        <v>113</v>
      </c>
      <c r="C33" s="114">
        <f>SUM(C34:C37)</f>
        <v>276.62183116367964</v>
      </c>
      <c r="D33" s="114">
        <f>SUM(D34:D37)</f>
        <v>309.83291286526514</v>
      </c>
      <c r="E33" s="114">
        <f t="shared" si="0"/>
        <v>112.00595107113371</v>
      </c>
      <c r="F33" s="84"/>
      <c r="G33" s="621"/>
      <c r="H33" s="109"/>
      <c r="I33" s="17"/>
      <c r="J33"/>
    </row>
    <row r="34" spans="1:10" ht="18" customHeight="1">
      <c r="A34" s="113"/>
      <c r="B34" s="33" t="s">
        <v>114</v>
      </c>
      <c r="C34" s="123">
        <f>(6200000000/166.386)/1000000</f>
        <v>37.262750471794504</v>
      </c>
      <c r="D34" s="123">
        <f>(6774272517/166.386)/1000000</f>
        <v>40.71419781111392</v>
      </c>
      <c r="E34" s="123">
        <f t="shared" si="0"/>
        <v>109.2624599516129</v>
      </c>
      <c r="F34" s="84"/>
      <c r="G34" s="621"/>
      <c r="H34" s="109"/>
      <c r="I34" s="17"/>
      <c r="J34"/>
    </row>
    <row r="35" spans="1:10" ht="18" customHeight="1">
      <c r="A35" s="113"/>
      <c r="B35" s="33" t="s">
        <v>115</v>
      </c>
      <c r="C35" s="123">
        <f>(23006000000/166.386)/1000000</f>
        <v>138.26884473453296</v>
      </c>
      <c r="D35" s="123">
        <f>(25729825951/166.386)/1000000</f>
        <v>154.63936840238961</v>
      </c>
      <c r="E35" s="123">
        <f t="shared" si="0"/>
        <v>111.83963292619315</v>
      </c>
      <c r="F35" s="84"/>
      <c r="G35" s="621"/>
      <c r="H35" s="109"/>
      <c r="I35" s="17"/>
      <c r="J35"/>
    </row>
    <row r="36" spans="1:10" ht="18" customHeight="1">
      <c r="A36" s="113"/>
      <c r="B36" s="33" t="s">
        <v>116</v>
      </c>
      <c r="C36" s="123">
        <f>(8260000000/166.386)/1000000</f>
        <v>49.643599822100413</v>
      </c>
      <c r="D36" s="123">
        <f>(10348274810/166.386)/1000000</f>
        <v>62.194384202997846</v>
      </c>
      <c r="E36" s="123">
        <f t="shared" si="0"/>
        <v>125.28177736077481</v>
      </c>
      <c r="F36" s="84"/>
      <c r="G36" s="621"/>
      <c r="H36" s="109"/>
      <c r="I36" s="17"/>
      <c r="J36"/>
    </row>
    <row r="37" spans="1:10" ht="18" customHeight="1">
      <c r="A37" s="113"/>
      <c r="B37" s="33" t="s">
        <v>117</v>
      </c>
      <c r="C37" s="123">
        <f>(8560000000/166.386)/1000000</f>
        <v>51.446636135251765</v>
      </c>
      <c r="D37" s="123">
        <f>(8699485762/166.386)/1000000</f>
        <v>52.284962448763721</v>
      </c>
      <c r="E37" s="123">
        <f t="shared" si="0"/>
        <v>101.62950656542056</v>
      </c>
      <c r="F37" s="84"/>
      <c r="G37" s="621"/>
      <c r="H37" s="109"/>
      <c r="I37" s="17"/>
      <c r="J37"/>
    </row>
    <row r="38" spans="1:10" ht="18" customHeight="1">
      <c r="A38" s="115">
        <v>2001</v>
      </c>
      <c r="B38" s="236" t="s">
        <v>110</v>
      </c>
      <c r="C38" s="114">
        <f>SUM(C39:C40)</f>
        <v>290.33692738571756</v>
      </c>
      <c r="D38" s="114">
        <f>SUM(D39:D40)</f>
        <v>293.52512532304399</v>
      </c>
      <c r="E38" s="116">
        <f t="shared" si="0"/>
        <v>101.09810280284839</v>
      </c>
      <c r="F38" s="84"/>
      <c r="G38" s="621"/>
      <c r="H38" s="109"/>
      <c r="I38" s="16"/>
      <c r="J38"/>
    </row>
    <row r="39" spans="1:10" ht="18" customHeight="1">
      <c r="A39" s="115"/>
      <c r="B39" s="41" t="s">
        <v>111</v>
      </c>
      <c r="C39" s="123">
        <f>(44308000000/166.386)/1000000</f>
        <v>266.29644321036625</v>
      </c>
      <c r="D39" s="123">
        <f>(44309046001/166.386)/1000000</f>
        <v>266.30272980298821</v>
      </c>
      <c r="E39" s="429">
        <f t="shared" si="0"/>
        <v>100.00236074975173</v>
      </c>
      <c r="F39" s="84"/>
      <c r="G39" s="621"/>
      <c r="H39" s="109"/>
      <c r="I39" s="16"/>
      <c r="J39"/>
    </row>
    <row r="40" spans="1:10" ht="18" customHeight="1">
      <c r="A40" s="115"/>
      <c r="B40" s="33" t="s">
        <v>112</v>
      </c>
      <c r="C40" s="123">
        <f>(4000000000/166.386)/1000000</f>
        <v>24.040484175351292</v>
      </c>
      <c r="D40" s="123">
        <f>(4529425501/166.386)/1000000</f>
        <v>27.222395520055773</v>
      </c>
      <c r="E40" s="429">
        <f t="shared" si="0"/>
        <v>113.23563752499999</v>
      </c>
      <c r="F40" s="84"/>
      <c r="G40" s="621"/>
      <c r="H40" s="109"/>
      <c r="I40" s="16"/>
      <c r="J40"/>
    </row>
    <row r="41" spans="1:10" ht="18" customHeight="1">
      <c r="A41" s="115"/>
      <c r="B41" s="164" t="s">
        <v>113</v>
      </c>
      <c r="C41" s="114">
        <f>SUM(C42:C45)</f>
        <v>324.48083156034761</v>
      </c>
      <c r="D41" s="114">
        <f>SUM(D42:D45)</f>
        <v>341.80995683531069</v>
      </c>
      <c r="E41" s="116">
        <f t="shared" si="0"/>
        <v>105.34056979317749</v>
      </c>
      <c r="F41" s="84"/>
      <c r="G41" s="621"/>
      <c r="H41" s="109"/>
      <c r="I41" s="16"/>
      <c r="J41"/>
    </row>
    <row r="42" spans="1:10" ht="18" customHeight="1">
      <c r="A42" s="115"/>
      <c r="B42" s="33" t="s">
        <v>114</v>
      </c>
      <c r="C42" s="123">
        <f>(7525066640/166.386)/1000000</f>
        <v>45.22656136934598</v>
      </c>
      <c r="D42" s="123">
        <f>(10543840712/166.386)/1000000</f>
        <v>63.369758946065176</v>
      </c>
      <c r="E42" s="429">
        <f t="shared" si="0"/>
        <v>140.11624370146444</v>
      </c>
      <c r="F42" s="84"/>
      <c r="G42" s="621"/>
      <c r="H42" s="109"/>
      <c r="I42" s="16"/>
      <c r="J42"/>
    </row>
    <row r="43" spans="1:10" ht="18" customHeight="1">
      <c r="A43" s="115"/>
      <c r="B43" s="33" t="s">
        <v>115</v>
      </c>
      <c r="C43" s="123">
        <f>(25500000500/166.386)/1000000</f>
        <v>153.25808962292501</v>
      </c>
      <c r="D43" s="123">
        <f>(26767907435/166.386)/1000000</f>
        <v>160.87836377459644</v>
      </c>
      <c r="E43" s="429">
        <f t="shared" si="0"/>
        <v>104.97218396132972</v>
      </c>
      <c r="F43" s="84"/>
      <c r="G43" s="621"/>
      <c r="H43" s="109"/>
      <c r="I43" s="16"/>
      <c r="J43"/>
    </row>
    <row r="44" spans="1:10" ht="18" customHeight="1">
      <c r="A44" s="115"/>
      <c r="B44" s="33" t="s">
        <v>116</v>
      </c>
      <c r="C44" s="123">
        <f>(10200000500/166.386)/1000000</f>
        <v>61.303237652206313</v>
      </c>
      <c r="D44" s="123">
        <f>(9965908556/166.386)/1000000</f>
        <v>59.896316733379017</v>
      </c>
      <c r="E44" s="429">
        <f t="shared" si="0"/>
        <v>97.704981053677415</v>
      </c>
      <c r="F44" s="84"/>
      <c r="G44" s="621"/>
      <c r="H44" s="109"/>
      <c r="I44" s="16"/>
      <c r="J44"/>
    </row>
    <row r="45" spans="1:10" ht="18" customHeight="1">
      <c r="A45" s="115"/>
      <c r="B45" s="33" t="s">
        <v>117</v>
      </c>
      <c r="C45" s="123">
        <f>(10764000000/166.386)/1000000</f>
        <v>64.692942915870319</v>
      </c>
      <c r="D45" s="123">
        <f>(9594734775/166.386)/1000000</f>
        <v>57.665517381270057</v>
      </c>
      <c r="E45" s="429">
        <f t="shared" si="0"/>
        <v>89.137261008918628</v>
      </c>
      <c r="F45" s="84"/>
      <c r="G45" s="621"/>
      <c r="H45" s="109"/>
      <c r="I45" s="16"/>
      <c r="J45"/>
    </row>
    <row r="46" spans="1:10" ht="18" customHeight="1">
      <c r="A46" s="115">
        <v>2002</v>
      </c>
      <c r="B46" s="236" t="s">
        <v>110</v>
      </c>
      <c r="C46" s="114">
        <f>SUM(C47:C48)</f>
        <v>27.65</v>
      </c>
      <c r="D46" s="114">
        <f>SUM(D47:D48)</f>
        <v>27.61</v>
      </c>
      <c r="E46" s="117">
        <f t="shared" si="0"/>
        <v>99.85533453887885</v>
      </c>
      <c r="F46" s="84"/>
      <c r="G46" s="621"/>
      <c r="H46" s="109"/>
      <c r="I46" s="16"/>
      <c r="J46"/>
    </row>
    <row r="47" spans="1:10" ht="18" customHeight="1">
      <c r="A47" s="115"/>
      <c r="B47" s="41" t="s">
        <v>111</v>
      </c>
      <c r="C47" s="123"/>
      <c r="D47" s="123"/>
      <c r="E47" s="117"/>
      <c r="F47" s="84"/>
      <c r="G47" s="621"/>
      <c r="H47" s="109"/>
      <c r="I47" s="16"/>
      <c r="J47"/>
    </row>
    <row r="48" spans="1:10" ht="18" customHeight="1">
      <c r="A48" s="115"/>
      <c r="B48" s="33" t="s">
        <v>112</v>
      </c>
      <c r="C48" s="123">
        <v>27.65</v>
      </c>
      <c r="D48" s="123">
        <v>27.61</v>
      </c>
      <c r="E48" s="430">
        <f t="shared" si="0"/>
        <v>99.85533453887885</v>
      </c>
      <c r="F48" s="84"/>
      <c r="G48" s="621"/>
      <c r="H48" s="109"/>
      <c r="I48" s="16"/>
      <c r="J48"/>
    </row>
    <row r="49" spans="1:10" ht="18" customHeight="1">
      <c r="A49" s="115"/>
      <c r="B49" s="164" t="s">
        <v>113</v>
      </c>
      <c r="C49" s="114">
        <f>SUM(C50:C53)</f>
        <v>329.15</v>
      </c>
      <c r="D49" s="114">
        <f>SUM(D50:D53)</f>
        <v>351.84000000000003</v>
      </c>
      <c r="E49" s="117">
        <f t="shared" si="0"/>
        <v>106.89351359562511</v>
      </c>
      <c r="F49" s="84"/>
      <c r="G49" s="621"/>
      <c r="H49" s="109"/>
      <c r="I49" s="16"/>
      <c r="J49"/>
    </row>
    <row r="50" spans="1:10" ht="18" customHeight="1">
      <c r="A50" s="115"/>
      <c r="B50" s="33" t="s">
        <v>114</v>
      </c>
      <c r="C50" s="123">
        <v>45.68</v>
      </c>
      <c r="D50" s="123">
        <v>70.989999999999995</v>
      </c>
      <c r="E50" s="430">
        <f t="shared" si="0"/>
        <v>155.40718038528897</v>
      </c>
      <c r="F50" s="84"/>
      <c r="G50" s="621"/>
      <c r="H50" s="109"/>
      <c r="I50" s="16"/>
      <c r="J50"/>
    </row>
    <row r="51" spans="1:10" ht="18" customHeight="1">
      <c r="A51" s="115"/>
      <c r="B51" s="33" t="s">
        <v>115</v>
      </c>
      <c r="C51" s="123">
        <v>153.26</v>
      </c>
      <c r="D51" s="123">
        <v>168.4</v>
      </c>
      <c r="E51" s="430">
        <f t="shared" si="0"/>
        <v>109.87863760929142</v>
      </c>
      <c r="F51" s="84"/>
      <c r="G51" s="621"/>
      <c r="H51" s="109"/>
      <c r="I51" s="16"/>
      <c r="J51"/>
    </row>
    <row r="52" spans="1:10" ht="18" customHeight="1">
      <c r="A52" s="115"/>
      <c r="B52" s="33" t="s">
        <v>116</v>
      </c>
      <c r="C52" s="123">
        <v>61.3</v>
      </c>
      <c r="D52" s="123">
        <v>58.72</v>
      </c>
      <c r="E52" s="430">
        <f t="shared" si="0"/>
        <v>95.791190864600324</v>
      </c>
      <c r="F52" s="84"/>
      <c r="G52" s="621"/>
      <c r="H52" s="109"/>
      <c r="I52" s="16"/>
      <c r="J52"/>
    </row>
    <row r="53" spans="1:10" ht="18" customHeight="1">
      <c r="A53" s="115"/>
      <c r="B53" s="33" t="s">
        <v>117</v>
      </c>
      <c r="C53" s="123">
        <v>68.91</v>
      </c>
      <c r="D53" s="123">
        <v>53.73</v>
      </c>
      <c r="E53" s="430">
        <f t="shared" si="0"/>
        <v>77.971266869830217</v>
      </c>
      <c r="F53" s="84"/>
      <c r="G53" s="621"/>
      <c r="H53" s="109"/>
      <c r="I53" s="16"/>
      <c r="J53"/>
    </row>
    <row r="54" spans="1:10" ht="18" customHeight="1">
      <c r="A54" s="115">
        <v>2003</v>
      </c>
      <c r="B54" s="236" t="s">
        <v>110</v>
      </c>
      <c r="C54" s="114">
        <f>SUM(C55:C58)</f>
        <v>1418.3706099999999</v>
      </c>
      <c r="D54" s="114">
        <f>SUM(D55:D58)</f>
        <v>1406.7012068199999</v>
      </c>
      <c r="E54" s="117">
        <f t="shared" si="0"/>
        <v>99.177266992298996</v>
      </c>
      <c r="F54" s="84"/>
      <c r="G54" s="621"/>
      <c r="H54" s="109"/>
      <c r="I54" s="16"/>
      <c r="J54"/>
    </row>
    <row r="55" spans="1:10" ht="18" customHeight="1">
      <c r="A55" s="115"/>
      <c r="B55" s="41" t="s">
        <v>111</v>
      </c>
      <c r="C55" s="123">
        <v>330.24</v>
      </c>
      <c r="D55" s="123">
        <v>330.24</v>
      </c>
      <c r="E55" s="430">
        <f t="shared" si="0"/>
        <v>100</v>
      </c>
      <c r="F55" s="84"/>
      <c r="G55" s="621"/>
      <c r="H55" s="109"/>
      <c r="I55" s="16"/>
      <c r="J55"/>
    </row>
    <row r="56" spans="1:10" ht="18" customHeight="1">
      <c r="A56" s="115"/>
      <c r="B56" s="33" t="s">
        <v>112</v>
      </c>
      <c r="C56" s="123">
        <v>29.86</v>
      </c>
      <c r="D56" s="123">
        <v>28.7</v>
      </c>
      <c r="E56" s="430">
        <f t="shared" si="0"/>
        <v>96.11520428667113</v>
      </c>
      <c r="F56" s="84"/>
      <c r="G56" s="621"/>
      <c r="H56" s="109"/>
      <c r="I56" s="16"/>
      <c r="J56"/>
    </row>
    <row r="57" spans="1:10" ht="18" customHeight="1">
      <c r="A57" s="115"/>
      <c r="B57" s="33" t="s">
        <v>118</v>
      </c>
      <c r="C57" s="123">
        <v>748.84</v>
      </c>
      <c r="D57" s="123">
        <v>748.84</v>
      </c>
      <c r="E57" s="430">
        <f t="shared" si="0"/>
        <v>100</v>
      </c>
      <c r="F57" s="84"/>
      <c r="G57" s="621"/>
      <c r="H57" s="109"/>
      <c r="I57" s="16"/>
      <c r="J57"/>
    </row>
    <row r="58" spans="1:10" ht="18" customHeight="1">
      <c r="A58" s="115"/>
      <c r="B58" s="33" t="s">
        <v>119</v>
      </c>
      <c r="C58" s="123">
        <f>(351430610-42000000)/1000000</f>
        <v>309.43061</v>
      </c>
      <c r="D58" s="123">
        <f>(352514958.92-53593752.1)/1000000</f>
        <v>298.92120682000001</v>
      </c>
      <c r="E58" s="430">
        <f t="shared" si="0"/>
        <v>96.603631689831843</v>
      </c>
      <c r="F58" s="84"/>
      <c r="G58" s="621"/>
      <c r="H58" s="109"/>
      <c r="I58" s="16"/>
      <c r="J58"/>
    </row>
    <row r="59" spans="1:10" ht="18" customHeight="1">
      <c r="A59" s="115"/>
      <c r="B59" s="164" t="s">
        <v>113</v>
      </c>
      <c r="C59" s="114">
        <f>SUM(C60:C63)</f>
        <v>349.75</v>
      </c>
      <c r="D59" s="114">
        <f>SUM(D60:D63)</f>
        <v>388.45</v>
      </c>
      <c r="E59" s="117">
        <f t="shared" si="0"/>
        <v>111.06504646175839</v>
      </c>
      <c r="F59" s="84"/>
      <c r="G59" s="621"/>
      <c r="H59" s="109"/>
      <c r="I59" s="16"/>
      <c r="J59"/>
    </row>
    <row r="60" spans="1:10" ht="18" customHeight="1">
      <c r="A60" s="115"/>
      <c r="B60" s="33" t="s">
        <v>114</v>
      </c>
      <c r="C60" s="123">
        <v>51</v>
      </c>
      <c r="D60" s="123">
        <v>63.74</v>
      </c>
      <c r="E60" s="430">
        <f t="shared" si="0"/>
        <v>124.98039215686273</v>
      </c>
      <c r="F60" s="84"/>
      <c r="G60" s="621"/>
      <c r="H60" s="109"/>
      <c r="I60" s="16"/>
      <c r="J60"/>
    </row>
    <row r="61" spans="1:10" ht="18" customHeight="1">
      <c r="A61" s="115"/>
      <c r="B61" s="33" t="s">
        <v>115</v>
      </c>
      <c r="C61" s="123">
        <v>166.75</v>
      </c>
      <c r="D61" s="123">
        <v>198.63</v>
      </c>
      <c r="E61" s="430">
        <f t="shared" si="0"/>
        <v>119.1184407796102</v>
      </c>
      <c r="F61" s="84"/>
      <c r="G61" s="621"/>
      <c r="H61" s="109"/>
      <c r="I61" s="16"/>
      <c r="J61"/>
    </row>
    <row r="62" spans="1:10" ht="18" customHeight="1">
      <c r="A62" s="115"/>
      <c r="B62" s="33" t="s">
        <v>116</v>
      </c>
      <c r="C62" s="123">
        <v>64.5</v>
      </c>
      <c r="D62" s="123">
        <v>72.14</v>
      </c>
      <c r="E62" s="430">
        <f t="shared" si="0"/>
        <v>111.84496124031007</v>
      </c>
      <c r="F62" s="84"/>
      <c r="G62" s="621"/>
      <c r="H62" s="109"/>
      <c r="I62" s="16"/>
      <c r="J62"/>
    </row>
    <row r="63" spans="1:10" ht="18" customHeight="1">
      <c r="A63" s="115"/>
      <c r="B63" s="33" t="s">
        <v>117</v>
      </c>
      <c r="C63" s="123">
        <v>67.5</v>
      </c>
      <c r="D63" s="123">
        <v>53.94</v>
      </c>
      <c r="E63" s="430">
        <f t="shared" si="0"/>
        <v>79.911111111111111</v>
      </c>
      <c r="F63" s="84"/>
      <c r="G63" s="621"/>
      <c r="H63" s="109"/>
      <c r="I63" s="16"/>
      <c r="J63"/>
    </row>
    <row r="64" spans="1:10" ht="18" customHeight="1">
      <c r="A64" s="164">
        <v>2004</v>
      </c>
      <c r="B64" s="236" t="s">
        <v>110</v>
      </c>
      <c r="C64" s="211">
        <f>SUM(C65:C68)</f>
        <v>1527.8</v>
      </c>
      <c r="D64" s="211">
        <f>SUM(D65:D68)</f>
        <v>1491.3013305899999</v>
      </c>
      <c r="E64" s="117">
        <f t="shared" si="0"/>
        <v>97.611030932713703</v>
      </c>
      <c r="F64" s="112"/>
      <c r="G64" s="621"/>
      <c r="H64" s="109"/>
      <c r="I64" s="16"/>
      <c r="J64"/>
    </row>
    <row r="65" spans="1:10" ht="18" customHeight="1">
      <c r="A65" s="164"/>
      <c r="B65" s="41" t="s">
        <v>111</v>
      </c>
      <c r="C65" s="98">
        <v>378.07</v>
      </c>
      <c r="D65" s="123">
        <v>421.41</v>
      </c>
      <c r="E65" s="430">
        <f t="shared" si="0"/>
        <v>111.46348559790515</v>
      </c>
      <c r="F65" s="112"/>
      <c r="G65" s="621"/>
      <c r="H65" s="109"/>
      <c r="I65" s="16"/>
      <c r="J65"/>
    </row>
    <row r="66" spans="1:10" ht="18" customHeight="1">
      <c r="A66" s="164"/>
      <c r="B66" s="33" t="s">
        <v>112</v>
      </c>
      <c r="C66" s="98">
        <v>30</v>
      </c>
      <c r="D66" s="123">
        <v>30.2</v>
      </c>
      <c r="E66" s="430">
        <f t="shared" si="0"/>
        <v>100.66666666666666</v>
      </c>
      <c r="F66" s="112"/>
      <c r="G66" s="621"/>
      <c r="H66" s="109"/>
      <c r="I66" s="16"/>
      <c r="J66"/>
    </row>
    <row r="67" spans="1:10" ht="18" customHeight="1">
      <c r="A67" s="164"/>
      <c r="B67" s="33" t="s">
        <v>118</v>
      </c>
      <c r="C67" s="98">
        <v>790.64</v>
      </c>
      <c r="D67" s="123">
        <v>715.03</v>
      </c>
      <c r="E67" s="430">
        <f t="shared" si="0"/>
        <v>90.436861276940192</v>
      </c>
      <c r="F67" s="112"/>
      <c r="G67" s="621"/>
      <c r="H67" s="109"/>
      <c r="I67" s="16"/>
      <c r="J67"/>
    </row>
    <row r="68" spans="1:10" ht="18" customHeight="1">
      <c r="A68" s="164"/>
      <c r="B68" s="33" t="s">
        <v>119</v>
      </c>
      <c r="C68" s="98">
        <v>329.09</v>
      </c>
      <c r="D68" s="123">
        <f>(327098703.76-2437373.17)/1000000</f>
        <v>324.66133058999998</v>
      </c>
      <c r="E68" s="430">
        <f t="shared" si="0"/>
        <v>98.654268008751416</v>
      </c>
      <c r="F68" s="112"/>
      <c r="G68" s="621"/>
      <c r="H68" s="109"/>
      <c r="I68" s="16"/>
      <c r="J68"/>
    </row>
    <row r="69" spans="1:10" ht="18" customHeight="1">
      <c r="A69" s="164"/>
      <c r="B69" s="164" t="s">
        <v>113</v>
      </c>
      <c r="C69" s="211">
        <f>SUM(C70:C73)</f>
        <v>352.32</v>
      </c>
      <c r="D69" s="211">
        <f>SUM(D70:D73)</f>
        <v>463.53000000000003</v>
      </c>
      <c r="E69" s="117">
        <f t="shared" si="0"/>
        <v>131.56505449591282</v>
      </c>
      <c r="F69" s="112"/>
      <c r="G69" s="621"/>
      <c r="H69" s="109"/>
      <c r="I69" s="16"/>
      <c r="J69"/>
    </row>
    <row r="70" spans="1:10" ht="18" customHeight="1">
      <c r="A70" s="164"/>
      <c r="B70" s="33" t="s">
        <v>114</v>
      </c>
      <c r="C70" s="98">
        <v>52.3</v>
      </c>
      <c r="D70" s="98">
        <v>66.5</v>
      </c>
      <c r="E70" s="430">
        <f t="shared" si="0"/>
        <v>127.15105162523901</v>
      </c>
      <c r="F70" s="112"/>
      <c r="G70" s="621"/>
      <c r="H70" s="109"/>
      <c r="I70" s="16"/>
      <c r="J70"/>
    </row>
    <row r="71" spans="1:10" ht="18" customHeight="1">
      <c r="A71" s="164"/>
      <c r="B71" s="33" t="s">
        <v>115</v>
      </c>
      <c r="C71" s="98">
        <v>180</v>
      </c>
      <c r="D71" s="123">
        <v>248.93</v>
      </c>
      <c r="E71" s="430">
        <f t="shared" si="0"/>
        <v>138.29444444444445</v>
      </c>
      <c r="F71" s="112"/>
      <c r="G71" s="621"/>
      <c r="H71" s="109"/>
      <c r="I71" s="16"/>
      <c r="J71"/>
    </row>
    <row r="72" spans="1:10" ht="18" customHeight="1">
      <c r="A72" s="164"/>
      <c r="B72" s="33" t="s">
        <v>116</v>
      </c>
      <c r="C72" s="98">
        <v>62</v>
      </c>
      <c r="D72" s="123">
        <v>90.65</v>
      </c>
      <c r="E72" s="430">
        <f t="shared" si="0"/>
        <v>146.20967741935485</v>
      </c>
      <c r="F72" s="112"/>
      <c r="G72" s="621"/>
      <c r="H72" s="109"/>
      <c r="I72" s="16"/>
      <c r="J72"/>
    </row>
    <row r="73" spans="1:10" ht="18" customHeight="1">
      <c r="A73" s="164"/>
      <c r="B73" s="33" t="s">
        <v>117</v>
      </c>
      <c r="C73" s="98">
        <v>58.02</v>
      </c>
      <c r="D73" s="123">
        <v>57.45</v>
      </c>
      <c r="E73" s="430">
        <f t="shared" si="0"/>
        <v>99.017580144777668</v>
      </c>
      <c r="F73" s="112"/>
      <c r="G73" s="621"/>
      <c r="H73" s="109"/>
      <c r="I73" s="16"/>
      <c r="J73"/>
    </row>
    <row r="74" spans="1:10" ht="18" customHeight="1">
      <c r="A74" s="236">
        <v>2005</v>
      </c>
      <c r="B74" s="236" t="s">
        <v>110</v>
      </c>
      <c r="C74" s="114">
        <f>SUM(C75:C78)</f>
        <v>1594.7600000000002</v>
      </c>
      <c r="D74" s="114">
        <f>SUM(D75:D78)</f>
        <v>1657.9150057300001</v>
      </c>
      <c r="E74" s="117">
        <f t="shared" si="0"/>
        <v>103.96015737352329</v>
      </c>
      <c r="G74" s="621"/>
      <c r="H74" s="109"/>
      <c r="I74" s="16"/>
      <c r="J74"/>
    </row>
    <row r="75" spans="1:10" ht="18" customHeight="1">
      <c r="A75" s="236"/>
      <c r="B75" s="41" t="s">
        <v>111</v>
      </c>
      <c r="C75" s="123">
        <v>400.85</v>
      </c>
      <c r="D75" s="123">
        <v>447.95</v>
      </c>
      <c r="E75" s="430">
        <f t="shared" si="0"/>
        <v>111.75003118373455</v>
      </c>
      <c r="G75" s="109"/>
      <c r="H75" s="109"/>
      <c r="I75" s="16"/>
      <c r="J75"/>
    </row>
    <row r="76" spans="1:10" ht="18" customHeight="1">
      <c r="A76" s="236"/>
      <c r="B76" s="33" t="s">
        <v>112</v>
      </c>
      <c r="C76" s="123">
        <v>30.6</v>
      </c>
      <c r="D76" s="123">
        <v>34.22</v>
      </c>
      <c r="E76" s="430">
        <f t="shared" si="0"/>
        <v>111.8300653594771</v>
      </c>
      <c r="G76" s="109"/>
      <c r="H76" s="109"/>
      <c r="I76" s="16"/>
      <c r="J76"/>
    </row>
    <row r="77" spans="1:10" ht="18" customHeight="1">
      <c r="A77" s="236"/>
      <c r="B77" s="33" t="s">
        <v>118</v>
      </c>
      <c r="C77" s="123">
        <v>836.41</v>
      </c>
      <c r="D77" s="123">
        <v>827.69</v>
      </c>
      <c r="E77" s="430">
        <f t="shared" si="0"/>
        <v>98.95744909793045</v>
      </c>
      <c r="G77" s="109"/>
      <c r="H77" s="109"/>
      <c r="I77" s="16"/>
      <c r="J77"/>
    </row>
    <row r="78" spans="1:10" ht="18" customHeight="1">
      <c r="A78" s="236"/>
      <c r="B78" s="33" t="s">
        <v>119</v>
      </c>
      <c r="C78" s="123">
        <v>326.89999999999998</v>
      </c>
      <c r="D78" s="123">
        <f>(348175330.21-120324.48)/1000000</f>
        <v>348.05500572999995</v>
      </c>
      <c r="E78" s="430">
        <f t="shared" si="0"/>
        <v>106.47139973386355</v>
      </c>
      <c r="G78" s="109"/>
      <c r="H78" s="109"/>
      <c r="I78" s="16"/>
      <c r="J78"/>
    </row>
    <row r="79" spans="1:10" ht="18" customHeight="1">
      <c r="A79" s="236"/>
      <c r="B79" s="164" t="s">
        <v>113</v>
      </c>
      <c r="C79" s="114">
        <f>SUM(C80:C83)</f>
        <v>463.34000000000003</v>
      </c>
      <c r="D79" s="114">
        <f>SUM(D80:D83)</f>
        <v>658.7</v>
      </c>
      <c r="E79" s="117">
        <f>D79/C79*100</f>
        <v>142.1634221090344</v>
      </c>
      <c r="G79" s="109"/>
      <c r="H79" s="109"/>
      <c r="I79" s="16"/>
      <c r="J79"/>
    </row>
    <row r="80" spans="1:10" ht="18" customHeight="1">
      <c r="A80" s="236"/>
      <c r="B80" s="33" t="s">
        <v>114</v>
      </c>
      <c r="C80" s="123">
        <v>50</v>
      </c>
      <c r="D80" s="123">
        <v>76.42</v>
      </c>
      <c r="E80" s="430">
        <f>D80/C80*100</f>
        <v>152.84</v>
      </c>
      <c r="G80" s="109"/>
      <c r="H80" s="109"/>
      <c r="I80" s="16"/>
      <c r="J80"/>
    </row>
    <row r="81" spans="1:10" ht="18" customHeight="1">
      <c r="A81" s="236"/>
      <c r="B81" s="33" t="s">
        <v>115</v>
      </c>
      <c r="C81" s="123">
        <v>216.39</v>
      </c>
      <c r="D81" s="123">
        <v>324.52</v>
      </c>
      <c r="E81" s="430">
        <f t="shared" si="0"/>
        <v>149.96996164332919</v>
      </c>
      <c r="G81" s="109"/>
      <c r="H81" s="109"/>
      <c r="I81" s="16"/>
      <c r="J81"/>
    </row>
    <row r="82" spans="1:10" ht="18" customHeight="1">
      <c r="A82" s="236"/>
      <c r="B82" s="33" t="s">
        <v>116</v>
      </c>
      <c r="C82" s="123">
        <v>137.72999999999999</v>
      </c>
      <c r="D82" s="123">
        <v>200.17</v>
      </c>
      <c r="E82" s="430">
        <f t="shared" si="0"/>
        <v>145.33507587308503</v>
      </c>
      <c r="G82" s="109"/>
      <c r="H82" s="109"/>
      <c r="I82" s="16"/>
      <c r="J82"/>
    </row>
    <row r="83" spans="1:10" ht="18" customHeight="1">
      <c r="A83" s="236"/>
      <c r="B83" s="33" t="s">
        <v>117</v>
      </c>
      <c r="C83" s="123">
        <v>59.22</v>
      </c>
      <c r="D83" s="123">
        <v>57.59</v>
      </c>
      <c r="E83" s="430">
        <f t="shared" si="0"/>
        <v>97.24755150287065</v>
      </c>
      <c r="G83" s="109"/>
      <c r="H83" s="109"/>
      <c r="I83" s="16"/>
      <c r="J83"/>
    </row>
    <row r="84" spans="1:10" ht="18" customHeight="1">
      <c r="A84" s="236">
        <v>2006</v>
      </c>
      <c r="B84" s="236" t="s">
        <v>110</v>
      </c>
      <c r="C84" s="114">
        <f>SUM(C85:C88)</f>
        <v>1683.09</v>
      </c>
      <c r="D84" s="114">
        <f>SUM(D85:D88)</f>
        <v>1810.3298682299999</v>
      </c>
      <c r="E84" s="116">
        <f t="shared" si="0"/>
        <v>107.55989687004259</v>
      </c>
      <c r="G84" s="109"/>
      <c r="H84" s="109"/>
      <c r="I84" s="16"/>
      <c r="J84"/>
    </row>
    <row r="85" spans="1:10" s="90" customFormat="1" ht="18" customHeight="1">
      <c r="A85" s="111"/>
      <c r="B85" s="41" t="s">
        <v>111</v>
      </c>
      <c r="C85" s="123">
        <v>437.14</v>
      </c>
      <c r="D85" s="123">
        <v>497.92</v>
      </c>
      <c r="E85" s="429">
        <f t="shared" si="0"/>
        <v>113.90401244452579</v>
      </c>
      <c r="F85" s="85"/>
      <c r="G85" s="96"/>
      <c r="H85" s="96"/>
      <c r="I85" s="84"/>
    </row>
    <row r="86" spans="1:10" s="90" customFormat="1" ht="18" customHeight="1">
      <c r="B86" s="33" t="s">
        <v>112</v>
      </c>
      <c r="C86" s="98">
        <v>33</v>
      </c>
      <c r="D86" s="98">
        <v>42.25</v>
      </c>
      <c r="E86" s="429">
        <f t="shared" si="0"/>
        <v>128.03030303030303</v>
      </c>
      <c r="F86" s="111"/>
      <c r="G86" s="111"/>
      <c r="H86" s="96"/>
      <c r="I86" s="84"/>
    </row>
    <row r="87" spans="1:10" s="90" customFormat="1" ht="18" customHeight="1">
      <c r="B87" s="33" t="s">
        <v>118</v>
      </c>
      <c r="C87" s="98">
        <v>873.88</v>
      </c>
      <c r="D87" s="98">
        <v>900.43</v>
      </c>
      <c r="E87" s="429">
        <f t="shared" si="0"/>
        <v>103.03817457774522</v>
      </c>
      <c r="F87" s="111"/>
      <c r="G87" s="111"/>
      <c r="H87" s="96"/>
      <c r="I87" s="84"/>
    </row>
    <row r="88" spans="1:10" s="90" customFormat="1" ht="18" customHeight="1">
      <c r="B88" s="33" t="s">
        <v>119</v>
      </c>
      <c r="C88" s="98">
        <v>339.07</v>
      </c>
      <c r="D88" s="98">
        <f>(371333926.2-1604057.97)/1000000</f>
        <v>369.72986822999997</v>
      </c>
      <c r="E88" s="429">
        <f t="shared" si="0"/>
        <v>109.0423417671867</v>
      </c>
      <c r="F88" s="111"/>
      <c r="G88" s="111"/>
      <c r="H88" s="96"/>
      <c r="I88" s="84"/>
    </row>
    <row r="89" spans="1:10" s="90" customFormat="1" ht="18" customHeight="1">
      <c r="B89" s="164" t="s">
        <v>113</v>
      </c>
      <c r="C89" s="211">
        <f>SUM(C90:C93)</f>
        <v>585.97</v>
      </c>
      <c r="D89" s="211">
        <f>SUM(D90:D93)</f>
        <v>799.3</v>
      </c>
      <c r="E89" s="116">
        <f t="shared" si="0"/>
        <v>136.40630066385651</v>
      </c>
      <c r="F89" s="111"/>
      <c r="H89" s="96"/>
      <c r="I89" s="84"/>
    </row>
    <row r="90" spans="1:10" s="90" customFormat="1" ht="18" customHeight="1">
      <c r="B90" s="33" t="s">
        <v>114</v>
      </c>
      <c r="C90" s="98">
        <v>68.2</v>
      </c>
      <c r="D90" s="98">
        <v>87.34</v>
      </c>
      <c r="E90" s="429">
        <f t="shared" si="0"/>
        <v>128.06451612903226</v>
      </c>
      <c r="F90" s="111"/>
      <c r="H90" s="96"/>
      <c r="I90" s="84"/>
    </row>
    <row r="91" spans="1:10" s="90" customFormat="1" ht="18" customHeight="1">
      <c r="B91" s="33" t="s">
        <v>115</v>
      </c>
      <c r="C91" s="98">
        <v>286.62</v>
      </c>
      <c r="D91" s="98">
        <v>404.42</v>
      </c>
      <c r="E91" s="429">
        <f t="shared" si="0"/>
        <v>141.0997139069151</v>
      </c>
      <c r="H91" s="84"/>
      <c r="I91" s="84"/>
    </row>
    <row r="92" spans="1:10" s="90" customFormat="1" ht="18" customHeight="1">
      <c r="B92" s="33" t="s">
        <v>116</v>
      </c>
      <c r="C92" s="98">
        <v>169.7</v>
      </c>
      <c r="D92" s="98">
        <v>249.31</v>
      </c>
      <c r="E92" s="429">
        <f t="shared" si="0"/>
        <v>146.91219799646436</v>
      </c>
      <c r="H92" s="84"/>
      <c r="I92" s="84"/>
    </row>
    <row r="93" spans="1:10" s="90" customFormat="1" ht="18" customHeight="1">
      <c r="B93" s="33" t="s">
        <v>117</v>
      </c>
      <c r="C93" s="98">
        <v>61.45</v>
      </c>
      <c r="D93" s="98">
        <v>58.23</v>
      </c>
      <c r="E93" s="429">
        <f t="shared" si="0"/>
        <v>94.759967453213989</v>
      </c>
      <c r="H93" s="431"/>
      <c r="I93" s="431"/>
      <c r="J93" s="432"/>
    </row>
    <row r="94" spans="1:10" s="90" customFormat="1" ht="18" customHeight="1">
      <c r="A94" s="236">
        <v>2007</v>
      </c>
      <c r="B94" s="236" t="s">
        <v>110</v>
      </c>
      <c r="C94" s="211">
        <f>SUM(C95:C98)</f>
        <v>1810.1499999999999</v>
      </c>
      <c r="D94" s="211">
        <f>SUM(D95:D98)</f>
        <v>1937.8799999999999</v>
      </c>
      <c r="E94" s="433">
        <f t="shared" ref="E94:E103" si="1">D94/C94*100</f>
        <v>107.05632129933984</v>
      </c>
      <c r="G94" s="622"/>
      <c r="H94" s="434"/>
      <c r="I94" s="434"/>
      <c r="J94" s="432"/>
    </row>
    <row r="95" spans="1:10" s="90" customFormat="1" ht="18" customHeight="1">
      <c r="A95" s="111"/>
      <c r="B95" s="41" t="s">
        <v>111</v>
      </c>
      <c r="C95" s="91">
        <v>480.34</v>
      </c>
      <c r="D95" s="91">
        <v>560.16999999999996</v>
      </c>
      <c r="E95" s="433">
        <f t="shared" si="1"/>
        <v>116.61947786984219</v>
      </c>
      <c r="G95" s="622"/>
      <c r="H95" s="85"/>
      <c r="I95" s="85"/>
      <c r="J95" s="432"/>
    </row>
    <row r="96" spans="1:10" s="90" customFormat="1" ht="18" customHeight="1">
      <c r="B96" s="33" t="s">
        <v>112</v>
      </c>
      <c r="C96" s="91">
        <v>36</v>
      </c>
      <c r="D96" s="91">
        <v>49.18</v>
      </c>
      <c r="E96" s="433">
        <f t="shared" si="1"/>
        <v>136.61111111111111</v>
      </c>
      <c r="G96" s="622"/>
      <c r="H96" s="85"/>
      <c r="I96" s="85"/>
      <c r="J96" s="432"/>
    </row>
    <row r="97" spans="1:10" s="90" customFormat="1" ht="18" customHeight="1">
      <c r="B97" s="33" t="s">
        <v>118</v>
      </c>
      <c r="C97" s="91">
        <v>958.32</v>
      </c>
      <c r="D97" s="91">
        <v>974.37</v>
      </c>
      <c r="E97" s="433">
        <f t="shared" si="1"/>
        <v>101.6748059103431</v>
      </c>
      <c r="H97" s="85"/>
      <c r="I97" s="85"/>
      <c r="J97" s="432"/>
    </row>
    <row r="98" spans="1:10" s="90" customFormat="1" ht="18" customHeight="1">
      <c r="B98" s="33" t="s">
        <v>119</v>
      </c>
      <c r="C98" s="91">
        <v>335.49</v>
      </c>
      <c r="D98" s="91">
        <v>354.16</v>
      </c>
      <c r="E98" s="433">
        <f t="shared" si="1"/>
        <v>105.56499448567766</v>
      </c>
      <c r="H98" s="111"/>
      <c r="I98" s="111"/>
    </row>
    <row r="99" spans="1:10" s="90" customFormat="1" ht="18" customHeight="1">
      <c r="B99" s="164" t="s">
        <v>113</v>
      </c>
      <c r="C99" s="87">
        <f>SUM(C100:C103)</f>
        <v>660.04000000000008</v>
      </c>
      <c r="D99" s="87">
        <f>SUM(D100:D103)</f>
        <v>774.79</v>
      </c>
      <c r="E99" s="433">
        <f t="shared" si="1"/>
        <v>117.38530998121324</v>
      </c>
    </row>
    <row r="100" spans="1:10" s="90" customFormat="1" ht="18.350000000000001">
      <c r="B100" s="33" t="s">
        <v>114</v>
      </c>
      <c r="C100" s="91">
        <v>33.43</v>
      </c>
      <c r="D100" s="91">
        <v>91.02</v>
      </c>
      <c r="E100" s="433">
        <f t="shared" si="1"/>
        <v>272.27041579419682</v>
      </c>
    </row>
    <row r="101" spans="1:10" s="90" customFormat="1" ht="18.350000000000001">
      <c r="B101" s="33" t="s">
        <v>115</v>
      </c>
      <c r="C101" s="91">
        <v>360.26</v>
      </c>
      <c r="D101" s="91">
        <v>377.27</v>
      </c>
      <c r="E101" s="433">
        <f t="shared" si="1"/>
        <v>104.72158996280463</v>
      </c>
    </row>
    <row r="102" spans="1:10" ht="18.350000000000001">
      <c r="A102" s="90"/>
      <c r="B102" s="33" t="s">
        <v>116</v>
      </c>
      <c r="C102" s="91">
        <v>205</v>
      </c>
      <c r="D102" s="91">
        <v>247.79</v>
      </c>
      <c r="E102" s="433">
        <f t="shared" si="1"/>
        <v>120.87317073170732</v>
      </c>
      <c r="F102"/>
      <c r="G102"/>
      <c r="H102" s="23"/>
      <c r="I102" s="23"/>
    </row>
    <row r="103" spans="1:10" ht="18.350000000000001">
      <c r="A103" s="90"/>
      <c r="B103" s="33" t="s">
        <v>117</v>
      </c>
      <c r="C103" s="91">
        <v>61.35</v>
      </c>
      <c r="D103" s="91">
        <v>58.71</v>
      </c>
      <c r="E103" s="433">
        <f t="shared" si="1"/>
        <v>95.69682151589241</v>
      </c>
      <c r="F103"/>
      <c r="G103"/>
      <c r="I103" s="23"/>
    </row>
    <row r="104" spans="1:10" ht="18.350000000000001">
      <c r="A104"/>
      <c r="B104"/>
      <c r="C104"/>
      <c r="D104"/>
      <c r="E104"/>
      <c r="F104"/>
      <c r="G104"/>
      <c r="H104" s="23"/>
      <c r="I104" s="23"/>
    </row>
    <row r="105" spans="1:10" ht="18.350000000000001">
      <c r="A105"/>
      <c r="B105"/>
      <c r="C105"/>
      <c r="D105"/>
      <c r="E105"/>
      <c r="F105"/>
      <c r="G105"/>
      <c r="H105" s="77"/>
      <c r="I105"/>
    </row>
    <row r="106" spans="1:10">
      <c r="A106"/>
      <c r="B106"/>
      <c r="C106"/>
      <c r="D106"/>
      <c r="E106"/>
      <c r="F106"/>
      <c r="G106"/>
      <c r="H106"/>
      <c r="I106"/>
    </row>
    <row r="107" spans="1:10">
      <c r="A107"/>
      <c r="B107"/>
      <c r="C107"/>
      <c r="D107"/>
      <c r="E107"/>
      <c r="F107"/>
      <c r="G107"/>
      <c r="H107"/>
      <c r="I107"/>
    </row>
    <row r="108" spans="1:10">
      <c r="A108"/>
      <c r="B108"/>
      <c r="C108"/>
      <c r="D108"/>
      <c r="E108"/>
      <c r="F108"/>
      <c r="G108"/>
      <c r="H108"/>
      <c r="I108"/>
    </row>
    <row r="109" spans="1:10">
      <c r="A109"/>
      <c r="B109"/>
      <c r="C109"/>
      <c r="D109"/>
      <c r="E109"/>
      <c r="F109"/>
      <c r="G109"/>
      <c r="H109"/>
      <c r="I109"/>
    </row>
    <row r="110" spans="1:10">
      <c r="A110"/>
      <c r="B110"/>
      <c r="C110"/>
      <c r="D110"/>
      <c r="E110"/>
      <c r="F110"/>
      <c r="G110"/>
      <c r="H110"/>
      <c r="I110"/>
    </row>
    <row r="111" spans="1:10">
      <c r="A111"/>
      <c r="B111"/>
      <c r="C111"/>
      <c r="D111"/>
      <c r="E111"/>
      <c r="F111"/>
      <c r="G111"/>
      <c r="H111"/>
      <c r="I111"/>
    </row>
    <row r="112" spans="1:10">
      <c r="A112"/>
      <c r="B112"/>
      <c r="C112"/>
      <c r="D112"/>
      <c r="E112"/>
      <c r="F112"/>
      <c r="G112"/>
      <c r="H112"/>
      <c r="I112"/>
    </row>
    <row r="113" spans="1:9">
      <c r="A113"/>
      <c r="B113"/>
      <c r="C113"/>
      <c r="D113"/>
      <c r="E113"/>
      <c r="F113"/>
      <c r="G113"/>
      <c r="H113"/>
      <c r="I113"/>
    </row>
    <row r="114" spans="1:9">
      <c r="A114"/>
      <c r="B114"/>
      <c r="C114"/>
      <c r="D114"/>
      <c r="E114"/>
      <c r="F114"/>
      <c r="G114"/>
      <c r="H114"/>
      <c r="I114"/>
    </row>
    <row r="115" spans="1:9">
      <c r="A115"/>
      <c r="B115"/>
      <c r="C115"/>
      <c r="D115"/>
      <c r="E115"/>
      <c r="F115"/>
      <c r="G115"/>
      <c r="H115"/>
      <c r="I115"/>
    </row>
    <row r="116" spans="1:9">
      <c r="A116"/>
      <c r="B116"/>
      <c r="C116"/>
      <c r="D116"/>
      <c r="E116"/>
      <c r="F116"/>
      <c r="G116"/>
      <c r="H116"/>
      <c r="I116"/>
    </row>
    <row r="117" spans="1:9">
      <c r="F117"/>
      <c r="G117"/>
      <c r="H117"/>
      <c r="I117"/>
    </row>
    <row r="118" spans="1:9">
      <c r="F118"/>
      <c r="G118"/>
      <c r="H118"/>
      <c r="I118"/>
    </row>
    <row r="119" spans="1:9">
      <c r="H119"/>
      <c r="I119"/>
    </row>
    <row r="120" spans="1:9">
      <c r="H120"/>
      <c r="I120"/>
    </row>
    <row r="121" spans="1:9">
      <c r="H121"/>
      <c r="I121"/>
    </row>
    <row r="122" spans="1:9">
      <c r="H122"/>
      <c r="I122"/>
    </row>
    <row r="123" spans="1:9">
      <c r="H123"/>
      <c r="I123"/>
    </row>
    <row r="124" spans="1:9">
      <c r="H124"/>
      <c r="I124"/>
    </row>
    <row r="125" spans="1:9">
      <c r="H125"/>
      <c r="I125"/>
    </row>
    <row r="126" spans="1:9">
      <c r="H126"/>
      <c r="I126"/>
    </row>
    <row r="127" spans="1:9">
      <c r="H127"/>
      <c r="I127"/>
    </row>
  </sheetData>
  <mergeCells count="4">
    <mergeCell ref="A1:E1"/>
    <mergeCell ref="K3:L3"/>
    <mergeCell ref="G6:G74"/>
    <mergeCell ref="G94:G96"/>
  </mergeCells>
  <printOptions horizontalCentered="1"/>
  <pageMargins left="0.75" right="0.75" top="1" bottom="1" header="0" footer="0"/>
  <pageSetup paperSize="9" scale="42" orientation="portrait" horizontalDpi="300" verticalDpi="300"/>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00B050"/>
  </sheetPr>
  <dimension ref="A1:W29"/>
  <sheetViews>
    <sheetView showGridLines="0" tabSelected="1" view="pageBreakPreview" topLeftCell="A9" zoomScale="60" zoomScaleNormal="85" workbookViewId="0">
      <selection activeCell="A23" sqref="A23"/>
    </sheetView>
  </sheetViews>
  <sheetFormatPr baseColWidth="10" defaultRowHeight="15.65"/>
  <cols>
    <col min="1" max="1" width="17.125" style="33" customWidth="1"/>
    <col min="2" max="4" width="12.75" style="97" hidden="1" customWidth="1"/>
    <col min="5" max="5" width="12.75" style="74" hidden="1" customWidth="1"/>
    <col min="6" max="9" width="12.75" style="34" hidden="1" customWidth="1"/>
    <col min="10" max="10" width="12.75" hidden="1" customWidth="1"/>
    <col min="11" max="13" width="13.75" hidden="1" customWidth="1"/>
    <col min="14" max="23" width="13.75" customWidth="1"/>
  </cols>
  <sheetData>
    <row r="1" spans="1:23" ht="18" customHeight="1"/>
    <row r="2" spans="1:23" ht="18" customHeight="1"/>
    <row r="3" spans="1:23" ht="18" customHeight="1"/>
    <row r="4" spans="1:23" ht="20.399999999999999">
      <c r="A4" s="592" t="s">
        <v>132</v>
      </c>
      <c r="B4" s="592"/>
      <c r="C4" s="592"/>
      <c r="D4" s="592"/>
      <c r="E4" s="592"/>
      <c r="F4" s="592"/>
      <c r="G4" s="592"/>
      <c r="H4" s="592"/>
      <c r="I4" s="592"/>
      <c r="J4" s="592"/>
      <c r="K4" s="592"/>
      <c r="L4" s="592"/>
      <c r="M4" s="592"/>
      <c r="N4" s="592"/>
      <c r="O4" s="592"/>
      <c r="P4" s="592"/>
      <c r="Q4" s="592"/>
      <c r="R4" s="592"/>
      <c r="S4" s="592"/>
      <c r="T4" s="592"/>
      <c r="U4" s="592"/>
      <c r="V4" s="592"/>
      <c r="W4" s="592"/>
    </row>
    <row r="5" spans="1:23" ht="23.1">
      <c r="A5" s="118"/>
      <c r="B5" s="118"/>
      <c r="C5" s="118"/>
      <c r="D5" s="118"/>
      <c r="E5" s="118"/>
      <c r="F5" s="118"/>
      <c r="G5" s="118"/>
      <c r="H5" s="118"/>
      <c r="I5" s="118"/>
    </row>
    <row r="6" spans="1:23" ht="23.1">
      <c r="A6" s="118"/>
      <c r="B6" s="118"/>
      <c r="C6" s="118"/>
      <c r="D6" s="118"/>
      <c r="E6" s="118"/>
      <c r="F6" s="118"/>
      <c r="G6" s="118"/>
      <c r="H6" s="118"/>
      <c r="I6" s="118"/>
    </row>
    <row r="8" spans="1:23" ht="18.350000000000001">
      <c r="A8" s="7"/>
      <c r="B8" s="124">
        <v>1999</v>
      </c>
      <c r="C8" s="124">
        <v>2000</v>
      </c>
      <c r="D8" s="124">
        <v>2001</v>
      </c>
      <c r="E8" s="125" t="s">
        <v>7</v>
      </c>
      <c r="F8" s="125" t="s">
        <v>9</v>
      </c>
      <c r="G8" s="215">
        <v>2004</v>
      </c>
      <c r="H8" s="215">
        <v>2005</v>
      </c>
      <c r="I8" s="95">
        <v>2006</v>
      </c>
      <c r="J8" s="95">
        <v>2007</v>
      </c>
      <c r="K8" s="95">
        <v>2008</v>
      </c>
      <c r="L8" s="95">
        <v>2009</v>
      </c>
      <c r="M8" s="95">
        <v>2010</v>
      </c>
      <c r="N8" s="95">
        <v>2012</v>
      </c>
      <c r="O8" s="95">
        <v>2013</v>
      </c>
      <c r="P8" s="95">
        <v>2014</v>
      </c>
      <c r="Q8" s="95">
        <v>2015</v>
      </c>
      <c r="R8" s="95">
        <v>2016</v>
      </c>
      <c r="S8" s="95">
        <v>2017</v>
      </c>
      <c r="T8" s="95">
        <v>2018</v>
      </c>
      <c r="U8" s="95">
        <v>2019</v>
      </c>
      <c r="V8" s="95">
        <v>2020</v>
      </c>
      <c r="W8" s="95">
        <v>2021</v>
      </c>
    </row>
    <row r="9" spans="1:23" ht="13.6" customHeight="1" thickBot="1">
      <c r="A9" s="141" t="s">
        <v>199</v>
      </c>
      <c r="B9" s="126"/>
      <c r="C9" s="126"/>
      <c r="D9" s="126"/>
      <c r="E9" s="127"/>
      <c r="F9" s="128"/>
      <c r="G9" s="214"/>
      <c r="H9" s="214"/>
      <c r="I9" s="81"/>
      <c r="J9" s="81"/>
      <c r="K9" s="81"/>
      <c r="L9" s="157"/>
      <c r="M9" s="157"/>
      <c r="N9" s="157"/>
      <c r="O9" s="157"/>
      <c r="P9" s="157"/>
      <c r="Q9" s="157"/>
      <c r="R9" s="157"/>
      <c r="S9" s="157"/>
      <c r="T9" s="157"/>
      <c r="U9" s="157"/>
      <c r="V9" s="157"/>
      <c r="W9" s="157"/>
    </row>
    <row r="10" spans="1:23" ht="32.950000000000003" customHeight="1" thickTop="1">
      <c r="A10" s="95" t="s">
        <v>180</v>
      </c>
      <c r="B10" s="129">
        <v>334.99</v>
      </c>
      <c r="C10" s="129">
        <v>342.57</v>
      </c>
      <c r="D10" s="129">
        <v>322</v>
      </c>
      <c r="E10" s="129">
        <v>400.55</v>
      </c>
      <c r="F10" s="129">
        <v>422.68</v>
      </c>
      <c r="G10" s="129">
        <v>518.12</v>
      </c>
      <c r="H10" s="129">
        <v>558.59</v>
      </c>
      <c r="I10" s="95">
        <v>627.52</v>
      </c>
      <c r="J10" s="95">
        <v>700.37</v>
      </c>
      <c r="K10" s="129">
        <v>778.91</v>
      </c>
      <c r="L10" s="129">
        <v>842</v>
      </c>
      <c r="M10" s="129">
        <v>717.37</v>
      </c>
      <c r="N10" s="129">
        <f>1095649716.57/1000000</f>
        <v>1095.64971657</v>
      </c>
      <c r="O10" s="129">
        <v>837.14</v>
      </c>
      <c r="P10" s="129">
        <v>892.09</v>
      </c>
      <c r="Q10" s="129">
        <v>1004.51</v>
      </c>
      <c r="R10" s="129">
        <v>1114.02</v>
      </c>
      <c r="S10" s="129">
        <v>1278.42</v>
      </c>
      <c r="T10" s="129">
        <v>1431.12</v>
      </c>
      <c r="U10" s="129">
        <v>1570.36</v>
      </c>
      <c r="V10" s="129">
        <v>1797.1</v>
      </c>
      <c r="W10" s="129">
        <v>1740.27</v>
      </c>
    </row>
    <row r="11" spans="1:23" ht="32.950000000000003" customHeight="1">
      <c r="A11" s="95" t="s">
        <v>181</v>
      </c>
      <c r="B11" s="129">
        <v>224.02</v>
      </c>
      <c r="C11" s="129">
        <v>261.42</v>
      </c>
      <c r="D11" s="129">
        <v>258.12</v>
      </c>
      <c r="E11" s="129">
        <v>1267.6600000000001</v>
      </c>
      <c r="F11" s="129">
        <v>1417</v>
      </c>
      <c r="G11" s="129">
        <v>1424.71</v>
      </c>
      <c r="H11" s="129">
        <v>1745.45</v>
      </c>
      <c r="I11" s="95">
        <v>1972.49</v>
      </c>
      <c r="J11" s="140">
        <v>2005.79</v>
      </c>
      <c r="K11" s="129">
        <v>1774.45</v>
      </c>
      <c r="L11" s="129">
        <v>1448.1</v>
      </c>
      <c r="M11" s="129">
        <v>1190.3800000000001</v>
      </c>
      <c r="N11" s="129">
        <f>2190334639.7/1000000</f>
        <v>2190.3346397</v>
      </c>
      <c r="O11" s="129">
        <v>1786.22</v>
      </c>
      <c r="P11" s="129">
        <v>1971.53</v>
      </c>
      <c r="Q11" s="129">
        <v>1947.65</v>
      </c>
      <c r="R11" s="129">
        <v>2048.7600000000002</v>
      </c>
      <c r="S11" s="129">
        <v>2315.39</v>
      </c>
      <c r="T11" s="129">
        <v>2708.11</v>
      </c>
      <c r="U11" s="129">
        <v>2652.94</v>
      </c>
      <c r="V11" s="129">
        <v>2529.5500000000002</v>
      </c>
      <c r="W11" s="129">
        <v>2822.98</v>
      </c>
    </row>
    <row r="12" spans="1:23" ht="32.950000000000003" customHeight="1">
      <c r="A12" s="95" t="s">
        <v>182</v>
      </c>
      <c r="B12" s="129">
        <v>70.59</v>
      </c>
      <c r="C12" s="129">
        <v>79.099999999999994</v>
      </c>
      <c r="D12" s="129">
        <v>81.33</v>
      </c>
      <c r="E12" s="129">
        <v>86.79</v>
      </c>
      <c r="F12" s="129">
        <v>88.05</v>
      </c>
      <c r="G12" s="129">
        <v>88.06</v>
      </c>
      <c r="H12" s="129">
        <v>97.81</v>
      </c>
      <c r="I12" s="95">
        <v>100.32</v>
      </c>
      <c r="J12" s="95">
        <v>94.29</v>
      </c>
      <c r="K12" s="129">
        <v>90.66</v>
      </c>
      <c r="L12" s="129">
        <v>88.05</v>
      </c>
      <c r="M12" s="129">
        <v>124.43</v>
      </c>
      <c r="N12" s="129">
        <f>82153092.46/1000000</f>
        <v>82.153092459999996</v>
      </c>
      <c r="O12" s="129">
        <v>86.63</v>
      </c>
      <c r="P12" s="129">
        <v>81.64</v>
      </c>
      <c r="Q12" s="129">
        <v>72.040000000000006</v>
      </c>
      <c r="R12" s="129">
        <v>79.209999999999994</v>
      </c>
      <c r="S12" s="129">
        <v>84.19</v>
      </c>
      <c r="T12" s="129">
        <v>86.58</v>
      </c>
      <c r="U12" s="129">
        <v>92.27</v>
      </c>
      <c r="V12" s="129">
        <v>92.36</v>
      </c>
      <c r="W12" s="129">
        <v>106.37</v>
      </c>
    </row>
    <row r="13" spans="1:23" ht="32.950000000000003" customHeight="1">
      <c r="A13" s="95" t="s">
        <v>183</v>
      </c>
      <c r="B13" s="129">
        <v>164.27</v>
      </c>
      <c r="C13" s="129">
        <v>187.91</v>
      </c>
      <c r="D13" s="129">
        <v>195.72</v>
      </c>
      <c r="E13" s="129">
        <v>50.15</v>
      </c>
      <c r="F13" s="129">
        <v>114.54</v>
      </c>
      <c r="G13" s="129">
        <v>646.32000000000005</v>
      </c>
      <c r="H13" s="129">
        <v>86.69</v>
      </c>
      <c r="I13" s="95">
        <v>161.75</v>
      </c>
      <c r="J13" s="95">
        <v>165.68</v>
      </c>
      <c r="K13" s="129">
        <v>169.99</v>
      </c>
      <c r="L13" s="129">
        <v>594.52</v>
      </c>
      <c r="M13" s="129">
        <v>651.76</v>
      </c>
      <c r="N13" s="129">
        <v>537.94000000000005</v>
      </c>
      <c r="O13" s="129">
        <v>-32.04</v>
      </c>
      <c r="P13" s="129">
        <v>-273.45999999999998</v>
      </c>
      <c r="Q13" s="129">
        <v>-69.92</v>
      </c>
      <c r="R13" s="129">
        <v>-2.71</v>
      </c>
      <c r="S13" s="129">
        <v>-87.34</v>
      </c>
      <c r="T13" s="129">
        <v>-338.43</v>
      </c>
      <c r="U13" s="129">
        <v>-385.45</v>
      </c>
      <c r="V13" s="129">
        <v>47.68</v>
      </c>
      <c r="W13" s="129">
        <v>1006.82</v>
      </c>
    </row>
    <row r="14" spans="1:23" ht="32.950000000000003" customHeight="1">
      <c r="A14" s="95" t="s">
        <v>188</v>
      </c>
      <c r="B14" s="130">
        <v>2.4300000000000002</v>
      </c>
      <c r="C14" s="130">
        <v>2.73</v>
      </c>
      <c r="D14" s="130">
        <v>2.4</v>
      </c>
      <c r="E14" s="130">
        <v>2.79</v>
      </c>
      <c r="F14" s="130">
        <v>2.34</v>
      </c>
      <c r="G14" s="130">
        <v>1.67</v>
      </c>
      <c r="H14" s="130">
        <v>1.28</v>
      </c>
      <c r="I14" s="95">
        <v>2.87</v>
      </c>
      <c r="J14" s="95">
        <v>3.73</v>
      </c>
      <c r="K14" s="129">
        <v>2.2200000000000002</v>
      </c>
      <c r="L14" s="129">
        <v>0.37</v>
      </c>
      <c r="M14" s="129">
        <v>0.22</v>
      </c>
      <c r="N14" s="129">
        <f>173408.5/1000000</f>
        <v>0.17340849999999999</v>
      </c>
      <c r="O14" s="129">
        <v>3.29</v>
      </c>
      <c r="P14" s="129">
        <v>7.25</v>
      </c>
      <c r="Q14" s="129">
        <v>4.01</v>
      </c>
      <c r="R14" s="129">
        <v>3.85</v>
      </c>
      <c r="S14" s="129">
        <v>4.09</v>
      </c>
      <c r="T14" s="129">
        <v>4.6900000000000004</v>
      </c>
      <c r="U14" s="129">
        <v>4.1100000000000003</v>
      </c>
      <c r="V14" s="129">
        <v>3.43</v>
      </c>
      <c r="W14" s="129">
        <v>3.05</v>
      </c>
    </row>
    <row r="15" spans="1:23" ht="32.950000000000003" customHeight="1">
      <c r="A15" s="95" t="s">
        <v>184</v>
      </c>
      <c r="B15" s="130">
        <v>0.19</v>
      </c>
      <c r="C15" s="130">
        <v>0.24</v>
      </c>
      <c r="D15" s="130">
        <v>7.0000000000000007E-2</v>
      </c>
      <c r="E15" s="130">
        <v>0.06</v>
      </c>
      <c r="F15" s="130">
        <v>0.11</v>
      </c>
      <c r="G15" s="130">
        <v>0.17</v>
      </c>
      <c r="H15" s="130">
        <v>0.95</v>
      </c>
      <c r="I15" s="95">
        <v>1.96</v>
      </c>
      <c r="J15" s="95">
        <v>0.13</v>
      </c>
      <c r="K15" s="129">
        <v>0.01</v>
      </c>
      <c r="L15" s="129">
        <v>0.01</v>
      </c>
      <c r="M15" s="129">
        <v>10</v>
      </c>
      <c r="N15" s="129">
        <f>1644555/1000000</f>
        <v>1.644555</v>
      </c>
      <c r="O15" s="129">
        <v>0.72</v>
      </c>
      <c r="P15" s="129">
        <v>2.16</v>
      </c>
      <c r="Q15" s="129">
        <v>1.47</v>
      </c>
      <c r="R15" s="129">
        <v>0.2</v>
      </c>
      <c r="S15" s="129">
        <v>23.36</v>
      </c>
      <c r="T15" s="129">
        <v>3.02</v>
      </c>
      <c r="U15" s="129">
        <v>4.8499999999999996</v>
      </c>
      <c r="V15" s="129">
        <v>0.18</v>
      </c>
      <c r="W15" s="129">
        <v>0.23</v>
      </c>
    </row>
    <row r="16" spans="1:23" ht="32.950000000000003" customHeight="1">
      <c r="A16" s="95" t="s">
        <v>185</v>
      </c>
      <c r="B16" s="130">
        <v>52.95</v>
      </c>
      <c r="C16" s="130">
        <v>61.18</v>
      </c>
      <c r="D16" s="130">
        <v>61.74</v>
      </c>
      <c r="E16" s="130">
        <v>50.176823060000004</v>
      </c>
      <c r="F16" s="130">
        <v>61.85</v>
      </c>
      <c r="G16" s="130">
        <v>64.64</v>
      </c>
      <c r="H16" s="130">
        <v>62.76</v>
      </c>
      <c r="I16" s="95">
        <v>44.6</v>
      </c>
      <c r="J16" s="95">
        <v>42.24</v>
      </c>
      <c r="K16" s="129">
        <v>59.97</v>
      </c>
      <c r="L16" s="129">
        <v>167.2</v>
      </c>
      <c r="M16" s="129">
        <v>135.16</v>
      </c>
      <c r="N16" s="129">
        <f>42203584.37/1000000</f>
        <v>42.203584369999994</v>
      </c>
      <c r="O16" s="129">
        <v>38.090000000000003</v>
      </c>
      <c r="P16" s="129">
        <v>98.78</v>
      </c>
      <c r="Q16" s="129">
        <v>16.739999999999998</v>
      </c>
      <c r="R16" s="129">
        <v>13.83</v>
      </c>
      <c r="S16" s="129">
        <v>-2.2799999999999998</v>
      </c>
      <c r="T16" s="129">
        <v>-5.54</v>
      </c>
      <c r="U16" s="129">
        <v>59.42</v>
      </c>
      <c r="V16" s="129">
        <v>53.43</v>
      </c>
      <c r="W16" s="129">
        <v>225.73</v>
      </c>
    </row>
    <row r="17" spans="1:23" ht="32.950000000000003" customHeight="1">
      <c r="A17" s="95" t="s">
        <v>187</v>
      </c>
      <c r="B17" s="131">
        <v>0.28999999999999998</v>
      </c>
      <c r="C17" s="131">
        <v>0.36</v>
      </c>
      <c r="D17" s="131">
        <v>0.1</v>
      </c>
      <c r="E17" s="131">
        <v>4.7293730000000006E-2</v>
      </c>
      <c r="F17" s="131">
        <v>0.06</v>
      </c>
      <c r="G17" s="131">
        <v>0.04</v>
      </c>
      <c r="H17" s="131">
        <v>0.02</v>
      </c>
      <c r="I17" s="95">
        <v>0.01</v>
      </c>
      <c r="J17" s="95">
        <v>0</v>
      </c>
      <c r="K17" s="129">
        <v>0.05</v>
      </c>
      <c r="L17" s="129">
        <v>0</v>
      </c>
      <c r="M17" s="129">
        <v>0</v>
      </c>
      <c r="N17" s="129">
        <v>0</v>
      </c>
      <c r="O17" s="129">
        <v>0</v>
      </c>
      <c r="P17" s="129">
        <v>0</v>
      </c>
      <c r="Q17" s="129">
        <v>0</v>
      </c>
      <c r="R17" s="129">
        <v>5.75</v>
      </c>
      <c r="S17" s="129">
        <v>19.59</v>
      </c>
      <c r="T17" s="129">
        <v>37.46</v>
      </c>
      <c r="U17" s="129">
        <v>26.77</v>
      </c>
      <c r="V17" s="129">
        <v>33.29</v>
      </c>
      <c r="W17" s="129">
        <v>37.89</v>
      </c>
    </row>
    <row r="18" spans="1:23" ht="32.950000000000003" customHeight="1">
      <c r="A18" s="95" t="s">
        <v>186</v>
      </c>
      <c r="B18" s="132">
        <v>50.382844710492471</v>
      </c>
      <c r="C18" s="132">
        <v>17.934201194812065</v>
      </c>
      <c r="D18" s="132">
        <v>143.11901241691007</v>
      </c>
      <c r="E18" s="132">
        <v>159.69</v>
      </c>
      <c r="F18" s="132">
        <v>6.19</v>
      </c>
      <c r="G18" s="132">
        <v>10.24</v>
      </c>
      <c r="H18" s="132">
        <v>362.28</v>
      </c>
      <c r="I18" s="95">
        <v>146.07</v>
      </c>
      <c r="J18" s="95">
        <v>98.72</v>
      </c>
      <c r="K18" s="129">
        <v>574.53</v>
      </c>
      <c r="L18" s="129">
        <v>1160.08</v>
      </c>
      <c r="M18" s="129">
        <v>555.35</v>
      </c>
      <c r="N18" s="129">
        <f>1668784184.24/1000000</f>
        <v>1668.7841842400001</v>
      </c>
      <c r="O18" s="129">
        <v>1268.17</v>
      </c>
      <c r="P18" s="129">
        <v>1610.45</v>
      </c>
      <c r="Q18" s="129">
        <v>1175.99</v>
      </c>
      <c r="R18" s="129">
        <v>1276.5</v>
      </c>
      <c r="S18" s="129">
        <v>1327.14</v>
      </c>
      <c r="T18" s="129">
        <v>889.61</v>
      </c>
      <c r="U18" s="129">
        <v>1193.94</v>
      </c>
      <c r="V18" s="129">
        <v>1752.5</v>
      </c>
      <c r="W18" s="129">
        <v>1125.71</v>
      </c>
    </row>
    <row r="19" spans="1:23" ht="13.6" customHeight="1" thickBot="1">
      <c r="A19" s="90"/>
      <c r="B19" s="128"/>
      <c r="C19" s="128"/>
      <c r="D19" s="128"/>
      <c r="E19" s="128"/>
      <c r="F19" s="128"/>
      <c r="G19" s="128"/>
      <c r="H19" s="214"/>
      <c r="I19" s="81"/>
      <c r="J19" s="81"/>
    </row>
    <row r="20" spans="1:23" ht="39.1" customHeight="1" thickTop="1" thickBot="1">
      <c r="A20" s="218" t="s">
        <v>4</v>
      </c>
      <c r="B20" s="210">
        <f>SUM(B10:B19)</f>
        <v>900.11284471049248</v>
      </c>
      <c r="C20" s="210">
        <f>SUM(C10:C19)</f>
        <v>953.44420119481208</v>
      </c>
      <c r="D20" s="210">
        <f>SUM(D10:D19)</f>
        <v>1064.5990124169102</v>
      </c>
      <c r="E20" s="210">
        <f>SUM(E10:E19)</f>
        <v>2017.9141167900002</v>
      </c>
      <c r="F20" s="210">
        <f>SUM(F10:F19)</f>
        <v>2112.8199999999997</v>
      </c>
      <c r="G20" s="210">
        <f t="shared" ref="G20:M20" si="0">SUM(G10:G18)</f>
        <v>2753.97</v>
      </c>
      <c r="H20" s="210">
        <f t="shared" si="0"/>
        <v>2915.83</v>
      </c>
      <c r="I20" s="210">
        <f t="shared" si="0"/>
        <v>3057.5900000000006</v>
      </c>
      <c r="J20" s="210">
        <f t="shared" si="0"/>
        <v>3110.9499999999994</v>
      </c>
      <c r="K20" s="210">
        <f t="shared" si="0"/>
        <v>3450.79</v>
      </c>
      <c r="L20" s="210">
        <f t="shared" si="0"/>
        <v>4300.33</v>
      </c>
      <c r="M20" s="210">
        <f t="shared" si="0"/>
        <v>3384.6699999999996</v>
      </c>
      <c r="N20" s="210">
        <f>SUM(N10:N18)</f>
        <v>5618.88318084</v>
      </c>
      <c r="O20" s="210">
        <f>SUM(O10:O18)</f>
        <v>3988.2200000000003</v>
      </c>
      <c r="P20" s="210">
        <f>SUM(P10:P18)</f>
        <v>4390.4399999999996</v>
      </c>
      <c r="Q20" s="210">
        <f t="shared" ref="Q20:V20" si="1">SUM(Q10:Q19)</f>
        <v>4152.49</v>
      </c>
      <c r="R20" s="210">
        <f t="shared" si="1"/>
        <v>4539.41</v>
      </c>
      <c r="S20" s="210">
        <f t="shared" si="1"/>
        <v>4962.5600000000004</v>
      </c>
      <c r="T20" s="210">
        <f t="shared" si="1"/>
        <v>4816.62</v>
      </c>
      <c r="U20" s="210">
        <f t="shared" si="1"/>
        <v>5219.2100000000009</v>
      </c>
      <c r="V20" s="210">
        <f t="shared" si="1"/>
        <v>6309.52</v>
      </c>
      <c r="W20" s="210">
        <f t="shared" ref="W20" si="2">SUM(W10:W19)</f>
        <v>7069.0499999999993</v>
      </c>
    </row>
    <row r="21" spans="1:23" ht="39.1" customHeight="1" thickTop="1">
      <c r="A21" s="590" t="s">
        <v>197</v>
      </c>
      <c r="B21" s="591"/>
      <c r="C21" s="591"/>
      <c r="D21" s="591"/>
      <c r="E21" s="591"/>
      <c r="F21" s="591"/>
      <c r="G21" s="591"/>
      <c r="H21" s="591"/>
      <c r="I21" s="591"/>
      <c r="J21" s="591"/>
      <c r="K21" s="591"/>
      <c r="L21" s="591"/>
      <c r="M21" s="591"/>
      <c r="N21" s="591"/>
      <c r="O21" s="591"/>
      <c r="P21" s="591"/>
      <c r="Q21" s="591"/>
      <c r="R21" s="591"/>
      <c r="S21" s="591"/>
      <c r="T21" s="591"/>
      <c r="U21" s="591"/>
    </row>
    <row r="22" spans="1:23" s="67" customFormat="1">
      <c r="A22" s="518" t="s">
        <v>256</v>
      </c>
      <c r="B22" s="510"/>
      <c r="C22" s="510"/>
      <c r="D22" s="510"/>
      <c r="E22" s="510"/>
      <c r="F22" s="510"/>
      <c r="G22" s="510"/>
      <c r="H22" s="510"/>
      <c r="I22" s="510"/>
      <c r="J22" s="510"/>
      <c r="K22" s="510"/>
      <c r="L22" s="510"/>
      <c r="M22" s="510"/>
      <c r="N22" s="510"/>
      <c r="O22" s="510"/>
      <c r="P22" s="510"/>
      <c r="Q22" s="510"/>
      <c r="R22" s="510"/>
      <c r="S22" s="510"/>
      <c r="T22" s="518"/>
      <c r="U22" s="510"/>
    </row>
    <row r="23" spans="1:23" s="67" customFormat="1">
      <c r="A23" s="41" t="s">
        <v>255</v>
      </c>
      <c r="B23" s="518"/>
      <c r="C23" s="518"/>
      <c r="D23" s="518"/>
      <c r="E23" s="518"/>
      <c r="F23" s="518"/>
      <c r="G23" s="518"/>
      <c r="H23" s="518"/>
      <c r="I23" s="518"/>
      <c r="J23" s="518"/>
      <c r="K23" s="518"/>
      <c r="L23" s="518"/>
      <c r="M23" s="518"/>
      <c r="N23" s="518"/>
      <c r="O23" s="518"/>
      <c r="P23" s="518"/>
      <c r="Q23" s="518"/>
      <c r="R23" s="518"/>
      <c r="S23" s="518"/>
      <c r="T23" s="518"/>
      <c r="U23" s="518"/>
    </row>
    <row r="24" spans="1:23" s="67" customFormat="1">
      <c r="A24" s="510"/>
      <c r="B24" s="510"/>
      <c r="C24" s="510"/>
      <c r="D24" s="510"/>
      <c r="E24" s="510"/>
      <c r="F24" s="510"/>
      <c r="G24" s="510"/>
      <c r="H24" s="510"/>
      <c r="I24" s="510"/>
      <c r="J24" s="510"/>
      <c r="K24" s="510"/>
      <c r="L24" s="510"/>
      <c r="M24" s="510"/>
      <c r="N24" s="510"/>
      <c r="O24" s="510"/>
      <c r="P24" s="512"/>
      <c r="Q24" s="510"/>
      <c r="R24" s="510"/>
      <c r="S24" s="510"/>
      <c r="T24" s="518"/>
      <c r="U24" s="510"/>
    </row>
    <row r="25" spans="1:23" s="67" customFormat="1" ht="15.8" customHeight="1">
      <c r="A25" s="41"/>
      <c r="B25" s="513"/>
      <c r="C25" s="513"/>
      <c r="D25" s="513"/>
      <c r="E25" s="514"/>
      <c r="F25" s="515"/>
      <c r="G25" s="515"/>
      <c r="H25" s="515"/>
      <c r="I25" s="515"/>
    </row>
    <row r="26" spans="1:23" ht="19.55" customHeight="1"/>
    <row r="27" spans="1:23" ht="14.95" customHeight="1">
      <c r="G27" s="99"/>
      <c r="H27" s="99"/>
      <c r="I27" s="99"/>
    </row>
    <row r="28" spans="1:23">
      <c r="G28" s="99"/>
      <c r="H28" s="99"/>
      <c r="I28" s="99"/>
    </row>
    <row r="29" spans="1:23">
      <c r="G29" s="99"/>
      <c r="H29" s="99"/>
      <c r="I29" s="99"/>
    </row>
  </sheetData>
  <mergeCells count="2">
    <mergeCell ref="A21:U21"/>
    <mergeCell ref="A4:W4"/>
  </mergeCells>
  <pageMargins left="0.70866141732283472" right="0.51181102362204722" top="0.55118110236220474" bottom="0.55118110236220474" header="0.31496062992125984" footer="0.51181102362204722"/>
  <pageSetup paperSize="9" scale="85"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L52"/>
  <sheetViews>
    <sheetView topLeftCell="A4" zoomScale="75" workbookViewId="0">
      <selection activeCell="M13" sqref="M13"/>
    </sheetView>
  </sheetViews>
  <sheetFormatPr baseColWidth="10" defaultRowHeight="12.9"/>
  <cols>
    <col min="1" max="1" width="48.375" customWidth="1"/>
    <col min="2" max="2" width="19.875" customWidth="1"/>
    <col min="3" max="4" width="18.75" customWidth="1"/>
    <col min="5" max="5" width="18.375" customWidth="1"/>
    <col min="6" max="8" width="18.75" customWidth="1"/>
    <col min="9" max="10" width="15.75" customWidth="1"/>
  </cols>
  <sheetData>
    <row r="1" spans="1:12" ht="15.8" customHeight="1"/>
    <row r="2" spans="1:12" ht="14.95" customHeight="1"/>
    <row r="3" spans="1:12" ht="18.350000000000001">
      <c r="A3" s="623" t="s">
        <v>62</v>
      </c>
      <c r="B3" s="623"/>
      <c r="C3" s="623"/>
      <c r="D3" s="623"/>
      <c r="E3" s="623"/>
      <c r="F3" s="623"/>
      <c r="G3" s="623"/>
      <c r="H3" s="91"/>
    </row>
    <row r="4" spans="1:12" ht="18.350000000000001">
      <c r="A4" s="91"/>
      <c r="B4" s="91"/>
      <c r="C4" s="91"/>
      <c r="D4" s="91"/>
      <c r="E4" s="91"/>
      <c r="F4" s="91"/>
      <c r="G4" s="91"/>
      <c r="H4" s="91"/>
    </row>
    <row r="6" spans="1:12" ht="18.350000000000001">
      <c r="A6" s="90"/>
      <c r="B6" s="87">
        <v>2001</v>
      </c>
      <c r="C6" s="87">
        <v>2002</v>
      </c>
      <c r="D6" s="87">
        <v>2003</v>
      </c>
      <c r="E6" s="87">
        <v>2004</v>
      </c>
      <c r="F6" s="87">
        <v>2005</v>
      </c>
      <c r="G6" s="87">
        <v>2006</v>
      </c>
      <c r="H6" s="87">
        <v>2007</v>
      </c>
      <c r="I6" s="90"/>
      <c r="J6" s="90"/>
      <c r="K6" s="90"/>
      <c r="L6" s="90"/>
    </row>
    <row r="7" spans="1:12" ht="9" customHeight="1" thickBot="1">
      <c r="A7" s="86"/>
      <c r="B7" s="86"/>
      <c r="C7" s="86"/>
      <c r="D7" s="86"/>
      <c r="E7" s="86"/>
      <c r="F7" s="86"/>
      <c r="G7" s="86"/>
      <c r="H7" s="86"/>
      <c r="I7" s="90"/>
      <c r="J7" s="90"/>
      <c r="K7" s="90"/>
      <c r="L7" s="90"/>
    </row>
    <row r="8" spans="1:12" ht="19.05" thickTop="1">
      <c r="A8" s="411" t="s">
        <v>63</v>
      </c>
      <c r="B8" s="412">
        <f>-376475337/166.386</f>
        <v>-2262662.3453896362</v>
      </c>
      <c r="C8" s="412">
        <v>-3519841.72</v>
      </c>
      <c r="D8" s="412">
        <v>-2137559.4900000002</v>
      </c>
      <c r="E8" s="412">
        <v>-854095.87</v>
      </c>
      <c r="F8" s="412">
        <v>-1604956.04</v>
      </c>
      <c r="G8" s="412">
        <v>-2736326.02</v>
      </c>
      <c r="H8" s="412">
        <v>-944292.19</v>
      </c>
      <c r="I8" s="90"/>
      <c r="J8" s="90"/>
      <c r="K8" s="90"/>
      <c r="L8" s="90"/>
    </row>
    <row r="9" spans="1:12" ht="36.700000000000003">
      <c r="A9" s="413" t="s">
        <v>64</v>
      </c>
      <c r="B9" s="412">
        <f>-218743478/166.386</f>
        <v>-1314674.7803300759</v>
      </c>
      <c r="C9" s="412">
        <v>-997940.23</v>
      </c>
      <c r="D9" s="412">
        <v>-604297.5</v>
      </c>
      <c r="E9" s="412">
        <v>-4165948.97</v>
      </c>
      <c r="F9" s="412">
        <v>0</v>
      </c>
      <c r="G9" s="412">
        <v>-4985900.3899999997</v>
      </c>
      <c r="H9" s="412">
        <v>-8907706.8699999992</v>
      </c>
      <c r="I9" s="90"/>
      <c r="J9" s="90"/>
      <c r="K9" s="90"/>
      <c r="L9" s="90"/>
    </row>
    <row r="10" spans="1:12" ht="18.350000000000001">
      <c r="A10" s="411" t="s">
        <v>65</v>
      </c>
      <c r="B10" s="412">
        <f>2483663354/166.386</f>
        <v>14927117.389684228</v>
      </c>
      <c r="C10" s="412">
        <v>24237.919999999998</v>
      </c>
      <c r="D10" s="412">
        <v>-16900.34</v>
      </c>
      <c r="E10" s="412">
        <v>7459.2</v>
      </c>
      <c r="F10" s="412">
        <v>2879707.96</v>
      </c>
      <c r="G10" s="411"/>
      <c r="H10" s="411"/>
      <c r="I10" s="90"/>
      <c r="J10" s="90"/>
      <c r="K10" s="90"/>
      <c r="L10" s="90"/>
    </row>
    <row r="11" spans="1:12" ht="18.350000000000001">
      <c r="A11" s="411" t="s">
        <v>66</v>
      </c>
      <c r="B11" s="412">
        <f>5862161/166.386</f>
        <v>35232.297188465374</v>
      </c>
      <c r="C11" s="412">
        <v>57821.59</v>
      </c>
      <c r="D11" s="412">
        <v>20981.66</v>
      </c>
      <c r="E11" s="412">
        <v>19722.09</v>
      </c>
      <c r="F11" s="412">
        <v>1142015.3500000001</v>
      </c>
      <c r="G11" s="412">
        <v>-262656.17</v>
      </c>
      <c r="H11" s="412">
        <v>-1719897.23</v>
      </c>
      <c r="I11" s="90"/>
      <c r="J11" s="90"/>
      <c r="K11" s="90"/>
      <c r="L11" s="90"/>
    </row>
    <row r="12" spans="1:12" ht="18.350000000000001">
      <c r="A12" s="411" t="s">
        <v>67</v>
      </c>
      <c r="B12" s="412">
        <f>2964677/166.386</f>
        <v>17818.067625881984</v>
      </c>
      <c r="C12" s="412">
        <v>15357.94</v>
      </c>
      <c r="D12" s="412">
        <v>78566.34</v>
      </c>
      <c r="E12" s="412">
        <v>10061.790000000001</v>
      </c>
      <c r="F12" s="412">
        <v>484383.74</v>
      </c>
      <c r="G12" s="412">
        <v>8059.3</v>
      </c>
      <c r="H12" s="411">
        <v>331.39</v>
      </c>
      <c r="I12" s="90"/>
      <c r="J12" s="90"/>
      <c r="K12" s="90"/>
      <c r="L12" s="90"/>
    </row>
    <row r="13" spans="1:12" ht="18.350000000000001">
      <c r="A13" s="411" t="s">
        <v>68</v>
      </c>
      <c r="B13" s="412">
        <f>-175809720/166.386</f>
        <v>-1056637.6978832353</v>
      </c>
      <c r="C13" s="412">
        <v>-558623.77</v>
      </c>
      <c r="D13" s="412">
        <v>-410196.24</v>
      </c>
      <c r="E13" s="412">
        <v>-198607.69</v>
      </c>
      <c r="F13" s="412">
        <v>-447085.86</v>
      </c>
      <c r="G13" s="412">
        <v>1035741.78</v>
      </c>
      <c r="H13" s="412">
        <v>-250609.25</v>
      </c>
      <c r="I13" s="90"/>
      <c r="J13" s="90"/>
      <c r="K13" s="90"/>
      <c r="L13" s="90"/>
    </row>
    <row r="14" spans="1:12" ht="18.350000000000001">
      <c r="A14" s="411" t="s">
        <v>69</v>
      </c>
      <c r="B14" s="412">
        <f>18093138/166.386</f>
        <v>108741.94944286178</v>
      </c>
      <c r="C14" s="412">
        <v>-4704.58</v>
      </c>
      <c r="D14" s="412">
        <v>-150817.14000000001</v>
      </c>
      <c r="E14" s="412">
        <v>56816.04</v>
      </c>
      <c r="F14" s="412">
        <v>175214.5</v>
      </c>
      <c r="G14" s="412">
        <v>349805.39</v>
      </c>
      <c r="H14" s="412">
        <v>-15566.6</v>
      </c>
      <c r="I14" s="90"/>
      <c r="J14" s="90"/>
      <c r="K14" s="90"/>
      <c r="L14" s="90"/>
    </row>
    <row r="15" spans="1:12" ht="18.350000000000001">
      <c r="A15" s="411" t="s">
        <v>70</v>
      </c>
      <c r="B15" s="412">
        <f>-180113749/166.386</f>
        <v>-1082505.4331494237</v>
      </c>
      <c r="C15" s="412">
        <v>-7931308.9500000002</v>
      </c>
      <c r="D15" s="412">
        <v>-8401367.3699999992</v>
      </c>
      <c r="E15" s="412">
        <v>-7502357.7699999996</v>
      </c>
      <c r="F15" s="412">
        <v>-4858809.6500000004</v>
      </c>
      <c r="G15" s="412">
        <v>-25132680.300000001</v>
      </c>
      <c r="H15" s="412">
        <v>-17062747.629999999</v>
      </c>
      <c r="I15" s="90"/>
      <c r="J15" s="90"/>
      <c r="K15" s="90"/>
      <c r="L15" s="90"/>
    </row>
    <row r="16" spans="1:12" ht="18.350000000000001">
      <c r="A16" s="411" t="s">
        <v>71</v>
      </c>
      <c r="B16" s="412">
        <f>-2282943/166.386</f>
        <v>-13720.763766182252</v>
      </c>
      <c r="C16" s="412">
        <v>-247363.42</v>
      </c>
      <c r="D16" s="412">
        <v>-381967.29</v>
      </c>
      <c r="E16" s="412">
        <v>-1362868.22</v>
      </c>
      <c r="F16" s="412">
        <v>-288701.88</v>
      </c>
      <c r="G16" s="412">
        <v>-333995.59999999998</v>
      </c>
      <c r="H16" s="412">
        <v>-1687840.74</v>
      </c>
      <c r="I16" s="90"/>
      <c r="J16" s="90"/>
      <c r="K16" s="90"/>
      <c r="L16" s="90"/>
    </row>
    <row r="17" spans="1:12" ht="18.350000000000001">
      <c r="A17" s="411" t="s">
        <v>72</v>
      </c>
      <c r="B17" s="412">
        <f>-397627498/166.386</f>
        <v>-2389789.3933383818</v>
      </c>
      <c r="C17" s="412">
        <v>-2387276.9300000002</v>
      </c>
      <c r="D17" s="412">
        <v>479017.69</v>
      </c>
      <c r="E17" s="412">
        <v>-2823686.84</v>
      </c>
      <c r="F17" s="412">
        <v>-29199.75</v>
      </c>
      <c r="G17" s="412">
        <v>278072.77</v>
      </c>
      <c r="H17" s="412">
        <v>-2294811.69</v>
      </c>
      <c r="I17" s="90"/>
      <c r="J17" s="90"/>
      <c r="K17" s="90"/>
      <c r="L17" s="90"/>
    </row>
    <row r="18" spans="1:12" ht="18.350000000000001">
      <c r="A18" s="411" t="s">
        <v>73</v>
      </c>
      <c r="B18" s="412">
        <v>0</v>
      </c>
      <c r="C18" s="412">
        <v>0</v>
      </c>
      <c r="D18" s="412">
        <v>0</v>
      </c>
      <c r="E18" s="412">
        <v>0</v>
      </c>
      <c r="F18" s="412">
        <v>-655193.98</v>
      </c>
      <c r="G18" s="412">
        <v>-997660.85</v>
      </c>
      <c r="H18" s="412">
        <v>1839016.58</v>
      </c>
      <c r="I18" s="90"/>
      <c r="J18" s="90"/>
      <c r="K18" s="90"/>
      <c r="L18" s="90"/>
    </row>
    <row r="19" spans="1:12" ht="36.700000000000003">
      <c r="A19" s="413" t="s">
        <v>74</v>
      </c>
      <c r="B19" s="412">
        <f>45733375/166.386</f>
        <v>274863.11949322658</v>
      </c>
      <c r="C19" s="412">
        <v>-127840.59</v>
      </c>
      <c r="D19" s="412">
        <v>15131.22</v>
      </c>
      <c r="E19" s="412">
        <v>40836.31</v>
      </c>
      <c r="F19" s="412">
        <v>215879.39</v>
      </c>
      <c r="G19" s="411"/>
      <c r="H19" s="411"/>
      <c r="I19" s="90"/>
      <c r="J19" s="90"/>
      <c r="K19" s="90"/>
      <c r="L19" s="90"/>
    </row>
    <row r="20" spans="1:12" ht="18.350000000000001">
      <c r="A20" s="411" t="s">
        <v>75</v>
      </c>
      <c r="B20" s="412"/>
      <c r="C20" s="412">
        <v>235146.43</v>
      </c>
      <c r="D20" s="412">
        <v>12434.03</v>
      </c>
      <c r="E20" s="412">
        <v>14722.77</v>
      </c>
      <c r="F20" s="412">
        <v>242326.34</v>
      </c>
      <c r="G20" s="412">
        <v>34712.11</v>
      </c>
      <c r="H20" s="412">
        <v>15712.08</v>
      </c>
      <c r="I20" s="90"/>
      <c r="J20" s="90"/>
      <c r="K20" s="90"/>
      <c r="L20" s="90"/>
    </row>
    <row r="21" spans="1:12" ht="18.350000000000001">
      <c r="A21" s="411" t="s">
        <v>76</v>
      </c>
      <c r="B21" s="412">
        <f>-237307/166.386</f>
        <v>-1426.2437945500224</v>
      </c>
      <c r="C21" s="412">
        <v>-106884.31</v>
      </c>
      <c r="D21" s="412">
        <v>-75699.399999999994</v>
      </c>
      <c r="E21" s="412">
        <v>98007.81</v>
      </c>
      <c r="F21" s="412">
        <v>-131974.07999999999</v>
      </c>
      <c r="G21" s="412">
        <v>76881.850000000006</v>
      </c>
      <c r="H21" s="412">
        <v>93971.74</v>
      </c>
      <c r="I21" s="90"/>
      <c r="J21" s="90"/>
      <c r="K21" s="90"/>
      <c r="L21" s="90"/>
    </row>
    <row r="22" spans="1:12" ht="18.350000000000001">
      <c r="A22" s="411" t="s">
        <v>77</v>
      </c>
      <c r="B22" s="412">
        <f>4.45</f>
        <v>4.45</v>
      </c>
      <c r="C22" s="412">
        <v>10047.780000000001</v>
      </c>
      <c r="D22" s="412">
        <v>5336.11</v>
      </c>
      <c r="E22" s="414" t="s">
        <v>78</v>
      </c>
      <c r="F22" s="412"/>
      <c r="G22" s="411"/>
      <c r="H22" s="411"/>
      <c r="I22" s="90"/>
      <c r="J22" s="90"/>
      <c r="K22" s="90"/>
      <c r="L22" s="90"/>
    </row>
    <row r="23" spans="1:12" ht="18.350000000000001">
      <c r="A23" s="411" t="s">
        <v>79</v>
      </c>
      <c r="B23" s="412"/>
      <c r="C23" s="415" t="s">
        <v>78</v>
      </c>
      <c r="D23" s="415" t="s">
        <v>78</v>
      </c>
      <c r="E23" s="412">
        <v>-154049.46</v>
      </c>
      <c r="F23" s="412">
        <v>59992.04</v>
      </c>
      <c r="G23" s="412">
        <v>-252081.86</v>
      </c>
      <c r="H23" s="412">
        <v>-102714.26</v>
      </c>
      <c r="I23" s="90"/>
      <c r="J23" s="90"/>
      <c r="K23" s="90"/>
      <c r="L23" s="90"/>
    </row>
    <row r="24" spans="1:12" ht="19.05" thickBot="1">
      <c r="A24" s="411" t="s">
        <v>80</v>
      </c>
      <c r="B24" s="412"/>
      <c r="C24" s="415" t="s">
        <v>78</v>
      </c>
      <c r="D24" s="415" t="s">
        <v>78</v>
      </c>
      <c r="E24" s="412">
        <v>5834.5</v>
      </c>
      <c r="F24" s="412">
        <v>2630.82</v>
      </c>
      <c r="G24" s="416">
        <v>15009.26</v>
      </c>
      <c r="H24" s="417">
        <v>-987211.85</v>
      </c>
      <c r="I24" s="90"/>
      <c r="J24" s="90"/>
      <c r="K24" s="90"/>
      <c r="L24" s="90"/>
    </row>
    <row r="25" spans="1:12" ht="19.05" thickTop="1">
      <c r="A25" s="411" t="s">
        <v>81</v>
      </c>
      <c r="B25" s="412"/>
      <c r="C25" s="415" t="s">
        <v>78</v>
      </c>
      <c r="D25" s="415" t="s">
        <v>78</v>
      </c>
      <c r="E25" s="412">
        <v>-879192.14</v>
      </c>
      <c r="F25" s="412">
        <v>-28811551.039999999</v>
      </c>
      <c r="G25" s="412">
        <v>-56750050.57</v>
      </c>
      <c r="H25" s="412">
        <v>-74461872.579999998</v>
      </c>
      <c r="I25" s="90"/>
      <c r="J25" s="90"/>
      <c r="K25" s="90"/>
      <c r="L25" s="90"/>
    </row>
    <row r="26" spans="1:12" ht="18.350000000000001">
      <c r="A26" s="411" t="s">
        <v>82</v>
      </c>
      <c r="B26" s="412"/>
      <c r="C26" s="415" t="s">
        <v>78</v>
      </c>
      <c r="D26" s="415" t="s">
        <v>78</v>
      </c>
      <c r="E26" s="412">
        <v>-166984.79</v>
      </c>
      <c r="F26" s="412">
        <v>-3761000.32</v>
      </c>
      <c r="G26" s="412">
        <v>-4771444.4400000004</v>
      </c>
      <c r="H26" s="412">
        <v>-5281900.29</v>
      </c>
      <c r="I26" s="90"/>
      <c r="J26" s="90"/>
      <c r="K26" s="90"/>
      <c r="L26" s="90"/>
    </row>
    <row r="27" spans="1:12" ht="18.350000000000001">
      <c r="A27" s="411" t="s">
        <v>83</v>
      </c>
      <c r="B27" s="412"/>
      <c r="C27" s="415" t="s">
        <v>78</v>
      </c>
      <c r="D27" s="415" t="s">
        <v>78</v>
      </c>
      <c r="E27" s="412">
        <v>282413.44</v>
      </c>
      <c r="F27" s="412">
        <v>-26430131.449999999</v>
      </c>
      <c r="G27" s="412">
        <v>-36140997.890000001</v>
      </c>
      <c r="H27" s="412">
        <v>-54658924.280000001</v>
      </c>
      <c r="I27" s="90"/>
      <c r="J27" s="90"/>
      <c r="K27" s="90"/>
      <c r="L27" s="90"/>
    </row>
    <row r="28" spans="1:12" ht="18.350000000000001">
      <c r="A28" s="411" t="s">
        <v>84</v>
      </c>
      <c r="B28" s="412"/>
      <c r="C28" s="415" t="s">
        <v>78</v>
      </c>
      <c r="D28" s="415" t="s">
        <v>78</v>
      </c>
      <c r="E28" s="412">
        <v>-5639071.8200000003</v>
      </c>
      <c r="F28" s="412">
        <v>-19355425.52</v>
      </c>
      <c r="G28" s="412">
        <v>-44109667.420000002</v>
      </c>
      <c r="H28" s="412">
        <v>-28815559.039999999</v>
      </c>
      <c r="I28" s="90"/>
      <c r="J28" s="90"/>
      <c r="K28" s="90"/>
      <c r="L28" s="90"/>
    </row>
    <row r="29" spans="1:12" ht="18.350000000000001">
      <c r="A29" s="411" t="s">
        <v>85</v>
      </c>
      <c r="B29" s="412"/>
      <c r="C29" s="415" t="s">
        <v>78</v>
      </c>
      <c r="D29" s="415" t="s">
        <v>78</v>
      </c>
      <c r="E29" s="412">
        <v>-234748.69</v>
      </c>
      <c r="F29" s="412">
        <v>-338373.26</v>
      </c>
      <c r="G29" s="411"/>
      <c r="H29" s="411"/>
      <c r="I29" s="90"/>
      <c r="J29" s="90"/>
      <c r="K29" s="90"/>
      <c r="L29" s="90"/>
    </row>
    <row r="30" spans="1:12" ht="18.350000000000001">
      <c r="A30" s="411" t="s">
        <v>86</v>
      </c>
      <c r="B30" s="412"/>
      <c r="C30" s="415"/>
      <c r="D30" s="415"/>
      <c r="E30" s="412"/>
      <c r="F30" s="412">
        <v>3489.39</v>
      </c>
      <c r="G30" s="412">
        <v>-1074092.8999999999</v>
      </c>
      <c r="H30" s="412">
        <v>-1659137.99</v>
      </c>
      <c r="I30" s="90"/>
      <c r="J30" s="90"/>
      <c r="K30" s="90"/>
      <c r="L30" s="90"/>
    </row>
    <row r="31" spans="1:12" ht="18.350000000000001">
      <c r="A31" s="418" t="s">
        <v>87</v>
      </c>
      <c r="B31" s="419"/>
      <c r="C31" s="420"/>
      <c r="D31" s="420"/>
      <c r="E31" s="419"/>
      <c r="F31" s="419">
        <v>350.06</v>
      </c>
      <c r="G31" s="419">
        <v>-161918.62</v>
      </c>
      <c r="H31" s="412">
        <v>-19378.12</v>
      </c>
      <c r="I31" s="90"/>
      <c r="J31" s="90"/>
      <c r="K31" s="90"/>
      <c r="L31" s="90"/>
    </row>
    <row r="32" spans="1:12" ht="18.350000000000001">
      <c r="A32" s="411" t="s">
        <v>88</v>
      </c>
      <c r="B32" s="412"/>
      <c r="C32" s="415"/>
      <c r="D32" s="415"/>
      <c r="E32" s="412"/>
      <c r="F32" s="412"/>
      <c r="G32" s="412">
        <v>-2040329.87</v>
      </c>
      <c r="H32" s="412">
        <v>-330103.39</v>
      </c>
      <c r="I32" s="90"/>
      <c r="J32" s="90"/>
      <c r="K32" s="90"/>
      <c r="L32" s="90"/>
    </row>
    <row r="33" spans="1:12" ht="18.350000000000001">
      <c r="A33" s="411" t="s">
        <v>89</v>
      </c>
      <c r="B33" s="412"/>
      <c r="C33" s="415"/>
      <c r="D33" s="415"/>
      <c r="E33" s="412"/>
      <c r="F33" s="412"/>
      <c r="G33" s="412">
        <v>10524.04</v>
      </c>
      <c r="H33" s="412">
        <v>20846.64</v>
      </c>
      <c r="I33" s="90"/>
      <c r="J33" s="90"/>
      <c r="K33" s="90"/>
      <c r="L33" s="90"/>
    </row>
    <row r="34" spans="1:12" ht="18.350000000000001">
      <c r="A34" s="411" t="s">
        <v>90</v>
      </c>
      <c r="B34" s="412"/>
      <c r="C34" s="415"/>
      <c r="D34" s="415"/>
      <c r="E34" s="412"/>
      <c r="F34" s="412"/>
      <c r="G34" s="412"/>
      <c r="H34" s="412">
        <v>-51527.09</v>
      </c>
      <c r="I34" s="90"/>
      <c r="J34" s="90"/>
      <c r="K34" s="90"/>
      <c r="L34" s="90"/>
    </row>
    <row r="35" spans="1:12" ht="18.350000000000001">
      <c r="A35" s="411" t="s">
        <v>91</v>
      </c>
      <c r="B35" s="412"/>
      <c r="C35" s="415"/>
      <c r="D35" s="415"/>
      <c r="E35" s="412"/>
      <c r="F35" s="412"/>
      <c r="G35" s="412">
        <v>354.26</v>
      </c>
      <c r="H35" s="412">
        <v>957.46</v>
      </c>
      <c r="I35" s="90"/>
      <c r="J35" s="90"/>
      <c r="K35" s="90"/>
      <c r="L35" s="90"/>
    </row>
    <row r="36" spans="1:12" ht="18.350000000000001">
      <c r="A36" s="411" t="s">
        <v>92</v>
      </c>
      <c r="B36" s="412"/>
      <c r="C36" s="415"/>
      <c r="D36" s="415"/>
      <c r="E36" s="412"/>
      <c r="F36" s="412"/>
      <c r="G36" s="412"/>
      <c r="H36" s="412">
        <v>0</v>
      </c>
      <c r="I36" s="90"/>
      <c r="J36" s="90"/>
      <c r="K36" s="90"/>
      <c r="L36" s="90"/>
    </row>
    <row r="37" spans="1:12" ht="18.350000000000001">
      <c r="A37" s="411" t="s">
        <v>93</v>
      </c>
      <c r="B37" s="412"/>
      <c r="C37" s="415"/>
      <c r="D37" s="415"/>
      <c r="E37" s="412"/>
      <c r="F37" s="412"/>
      <c r="G37" s="412">
        <v>-1294911.93</v>
      </c>
      <c r="H37" s="412">
        <v>-1804690.95</v>
      </c>
      <c r="I37" s="90"/>
      <c r="J37" s="90"/>
      <c r="K37" s="90"/>
      <c r="L37" s="90"/>
    </row>
    <row r="38" spans="1:12" ht="18.350000000000001">
      <c r="A38" s="411" t="s">
        <v>94</v>
      </c>
      <c r="B38" s="412"/>
      <c r="C38" s="415"/>
      <c r="D38" s="415"/>
      <c r="E38" s="412"/>
      <c r="F38" s="412"/>
      <c r="G38" s="412">
        <v>-508.56</v>
      </c>
      <c r="H38" s="412">
        <v>-3427062.95</v>
      </c>
      <c r="I38" s="90"/>
      <c r="J38" s="90"/>
      <c r="K38" s="90"/>
      <c r="L38" s="90"/>
    </row>
    <row r="39" spans="1:12" ht="19.05" thickBot="1">
      <c r="A39" s="421" t="s">
        <v>95</v>
      </c>
      <c r="B39" s="422"/>
      <c r="C39" s="423"/>
      <c r="D39" s="423"/>
      <c r="E39" s="422"/>
      <c r="F39" s="422"/>
      <c r="G39" s="422">
        <v>-17610.650000000001</v>
      </c>
      <c r="H39" s="419">
        <v>5370.02</v>
      </c>
      <c r="I39" s="90"/>
      <c r="J39" s="90"/>
      <c r="K39" s="90"/>
      <c r="L39" s="90"/>
    </row>
    <row r="40" spans="1:12" ht="36" customHeight="1" thickTop="1" thickBot="1">
      <c r="A40" s="424" t="s">
        <v>4</v>
      </c>
      <c r="B40" s="425">
        <f>SUM(B8:B31)/1000000</f>
        <v>7.2423606157831761</v>
      </c>
      <c r="C40" s="425">
        <f>SUM(C8:C31)/1000000</f>
        <v>-15.539172840000001</v>
      </c>
      <c r="D40" s="425">
        <f>SUM(D8:D31)/1000000</f>
        <v>-11.567337720000001</v>
      </c>
      <c r="E40" s="425">
        <f>SUM(E8:E31)/1000000</f>
        <v>-23.445738310000003</v>
      </c>
      <c r="F40" s="425">
        <f>SUM(F8:F31)/1000000</f>
        <v>-81.506413240000001</v>
      </c>
      <c r="G40" s="425">
        <f>SUM(G8:G39)/1000000</f>
        <v>-179.25367328000007</v>
      </c>
      <c r="H40" s="425">
        <f>SUM(H8:H39)/1000000</f>
        <v>-202.50734907999998</v>
      </c>
      <c r="I40" s="90"/>
      <c r="J40" s="90"/>
      <c r="K40" s="90"/>
      <c r="L40" s="90"/>
    </row>
    <row r="41" spans="1:12" ht="19.05" thickTop="1">
      <c r="B41" s="90"/>
      <c r="C41" s="90"/>
      <c r="D41" s="90"/>
      <c r="E41" s="426"/>
      <c r="F41" s="90"/>
      <c r="G41" s="90"/>
      <c r="H41" s="90"/>
      <c r="I41" s="90"/>
      <c r="J41" s="90"/>
      <c r="K41" s="90"/>
      <c r="L41" s="90"/>
    </row>
    <row r="42" spans="1:12" ht="18.350000000000001">
      <c r="A42" s="90"/>
      <c r="B42" s="90"/>
      <c r="C42" s="90"/>
      <c r="D42" s="90"/>
      <c r="E42" s="426"/>
      <c r="F42" s="90"/>
      <c r="G42" s="90"/>
      <c r="H42" s="90"/>
      <c r="I42" s="90"/>
      <c r="J42" s="90"/>
      <c r="K42" s="90"/>
      <c r="L42" s="90"/>
    </row>
    <row r="43" spans="1:12" ht="18.350000000000001">
      <c r="A43" s="90"/>
      <c r="B43" s="90"/>
      <c r="C43" s="90"/>
      <c r="D43" s="90"/>
      <c r="E43" s="90"/>
      <c r="F43" s="90"/>
      <c r="G43" s="90"/>
      <c r="H43" s="90"/>
      <c r="I43" s="90"/>
      <c r="J43" s="90"/>
      <c r="K43" s="90"/>
      <c r="L43" s="90"/>
    </row>
    <row r="44" spans="1:12" ht="18.350000000000001">
      <c r="A44" s="90"/>
      <c r="B44" s="90"/>
      <c r="C44" s="90"/>
      <c r="D44" s="90"/>
      <c r="E44" s="90"/>
      <c r="F44" s="90"/>
      <c r="G44" s="90"/>
      <c r="H44" s="90"/>
      <c r="I44" s="90"/>
      <c r="J44" s="90"/>
      <c r="K44" s="90"/>
      <c r="L44" s="90"/>
    </row>
    <row r="45" spans="1:12" ht="18.350000000000001">
      <c r="A45" s="90"/>
      <c r="B45" s="90"/>
      <c r="C45" s="90"/>
      <c r="D45" s="90"/>
      <c r="E45" s="90"/>
      <c r="F45" s="90"/>
      <c r="G45" s="90"/>
      <c r="H45" s="90"/>
      <c r="I45" s="90"/>
      <c r="J45" s="90"/>
      <c r="K45" s="90"/>
      <c r="L45" s="90"/>
    </row>
    <row r="46" spans="1:12" ht="18.350000000000001">
      <c r="A46" s="90"/>
      <c r="B46" s="90"/>
      <c r="C46" s="90"/>
      <c r="D46" s="90"/>
      <c r="E46" s="90"/>
      <c r="F46" s="90"/>
      <c r="G46" s="90"/>
      <c r="H46" s="90"/>
      <c r="I46" s="90"/>
      <c r="J46" s="90"/>
      <c r="K46" s="90"/>
      <c r="L46" s="90"/>
    </row>
    <row r="47" spans="1:12" ht="18.350000000000001">
      <c r="A47" s="90"/>
      <c r="B47" s="90"/>
      <c r="C47" s="90"/>
      <c r="D47" s="90"/>
      <c r="E47" s="90"/>
      <c r="F47" s="90"/>
      <c r="G47" s="90"/>
      <c r="H47" s="90"/>
      <c r="I47" s="90"/>
      <c r="J47" s="90"/>
      <c r="K47" s="90"/>
      <c r="L47" s="90"/>
    </row>
    <row r="48" spans="1:12" ht="18.350000000000001">
      <c r="A48" s="90"/>
      <c r="B48" s="90"/>
      <c r="C48" s="90"/>
      <c r="D48" s="90"/>
      <c r="E48" s="90"/>
      <c r="F48" s="90"/>
      <c r="G48" s="90"/>
      <c r="H48" s="90"/>
      <c r="I48" s="90"/>
      <c r="J48" s="90"/>
      <c r="K48" s="90"/>
      <c r="L48" s="90"/>
    </row>
    <row r="49" spans="1:12" ht="18.350000000000001">
      <c r="A49" s="90"/>
      <c r="B49" s="90"/>
      <c r="C49" s="90"/>
      <c r="D49" s="90"/>
      <c r="E49" s="90"/>
      <c r="F49" s="90"/>
      <c r="G49" s="90"/>
      <c r="H49" s="90"/>
      <c r="I49" s="90"/>
      <c r="J49" s="90"/>
      <c r="K49" s="90"/>
      <c r="L49" s="90"/>
    </row>
    <row r="50" spans="1:12" ht="18.350000000000001">
      <c r="A50" s="90"/>
      <c r="B50" s="90"/>
      <c r="C50" s="90"/>
      <c r="D50" s="90"/>
      <c r="E50" s="90"/>
      <c r="F50" s="90"/>
      <c r="G50" s="90"/>
      <c r="H50" s="90"/>
      <c r="I50" s="90"/>
      <c r="J50" s="90"/>
      <c r="K50" s="90"/>
      <c r="L50" s="90"/>
    </row>
    <row r="51" spans="1:12" ht="18.350000000000001">
      <c r="A51" s="90"/>
      <c r="B51" s="90"/>
      <c r="C51" s="90"/>
      <c r="D51" s="90"/>
      <c r="E51" s="90"/>
      <c r="F51" s="90"/>
      <c r="G51" s="90"/>
      <c r="H51" s="90"/>
      <c r="I51" s="90"/>
      <c r="J51" s="90"/>
      <c r="K51" s="90"/>
      <c r="L51" s="90"/>
    </row>
    <row r="52" spans="1:12" ht="18.350000000000001">
      <c r="A52" s="90"/>
      <c r="B52" s="90"/>
      <c r="C52" s="90"/>
      <c r="D52" s="90"/>
      <c r="E52" s="90"/>
      <c r="F52" s="90"/>
      <c r="G52" s="90"/>
      <c r="H52" s="90"/>
      <c r="I52" s="90"/>
      <c r="J52" s="90"/>
      <c r="K52" s="90"/>
      <c r="L52" s="90"/>
    </row>
  </sheetData>
  <mergeCells count="1">
    <mergeCell ref="A3:G3"/>
  </mergeCells>
  <pageMargins left="0.75" right="0.75" top="1" bottom="1" header="0" footer="0"/>
  <pageSetup paperSize="9" scale="58" orientation="landscape"/>
  <headerFooter alignWithMargins="0"/>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J43"/>
  <sheetViews>
    <sheetView topLeftCell="C1" workbookViewId="0">
      <selection activeCell="M13" sqref="M13"/>
    </sheetView>
  </sheetViews>
  <sheetFormatPr baseColWidth="10" defaultRowHeight="12.9"/>
  <cols>
    <col min="1" max="1" width="37.75" customWidth="1"/>
    <col min="2" max="2" width="14.125" customWidth="1"/>
    <col min="3" max="3" width="13.375" customWidth="1"/>
    <col min="4" max="4" width="13.75" customWidth="1"/>
    <col min="5" max="6" width="13.25" bestFit="1" customWidth="1"/>
    <col min="7" max="7" width="14.25" customWidth="1"/>
    <col min="8" max="9" width="13.25" bestFit="1" customWidth="1"/>
    <col min="10" max="10" width="14.25" bestFit="1" customWidth="1"/>
  </cols>
  <sheetData>
    <row r="1" spans="1:10">
      <c r="A1" t="s">
        <v>96</v>
      </c>
      <c r="G1" s="35"/>
    </row>
    <row r="2" spans="1:10">
      <c r="B2">
        <v>1999</v>
      </c>
      <c r="C2">
        <v>2000</v>
      </c>
      <c r="D2">
        <v>2001</v>
      </c>
      <c r="E2">
        <v>2002</v>
      </c>
      <c r="F2">
        <v>2003</v>
      </c>
      <c r="G2" s="427">
        <v>2004</v>
      </c>
      <c r="H2">
        <v>2005</v>
      </c>
      <c r="I2">
        <v>2006</v>
      </c>
      <c r="J2">
        <v>2007</v>
      </c>
    </row>
    <row r="3" spans="1:10">
      <c r="A3" t="s">
        <v>63</v>
      </c>
      <c r="B3" s="243">
        <v>4237914537</v>
      </c>
      <c r="C3" s="243">
        <v>3978890546</v>
      </c>
      <c r="D3" s="243">
        <v>3602415209</v>
      </c>
      <c r="E3" s="35">
        <v>18131109.579999998</v>
      </c>
      <c r="F3" s="35">
        <v>15993550.09</v>
      </c>
      <c r="G3" s="35">
        <v>15139454.23</v>
      </c>
      <c r="H3" s="35">
        <v>13534498.189999999</v>
      </c>
      <c r="I3" s="35">
        <v>10798172.17</v>
      </c>
      <c r="J3" s="35">
        <v>9853879.4600000009</v>
      </c>
    </row>
    <row r="4" spans="1:10">
      <c r="A4" t="s">
        <v>97</v>
      </c>
      <c r="B4" s="243">
        <v>-264451784</v>
      </c>
      <c r="C4" s="243">
        <v>-458662014</v>
      </c>
      <c r="D4" s="243">
        <v>-677405492</v>
      </c>
      <c r="E4" s="35">
        <v>-5128713.24</v>
      </c>
      <c r="F4" s="35">
        <v>-5733010.7400000002</v>
      </c>
      <c r="G4" s="35">
        <v>-9813318.2100000009</v>
      </c>
      <c r="H4" s="35">
        <v>-8206734.5199999996</v>
      </c>
      <c r="I4" s="35">
        <v>-13192634.91</v>
      </c>
      <c r="J4" s="35">
        <v>-22100341.780000001</v>
      </c>
    </row>
    <row r="5" spans="1:10">
      <c r="A5" t="s">
        <v>65</v>
      </c>
      <c r="B5" s="243">
        <v>-2668869496</v>
      </c>
      <c r="C5" s="243">
        <v>-3074288814</v>
      </c>
      <c r="D5" s="243">
        <v>-590625460</v>
      </c>
      <c r="E5" s="35">
        <v>-3525492.58</v>
      </c>
      <c r="F5" s="35">
        <v>-3542392.92</v>
      </c>
      <c r="G5" s="35">
        <v>-3534933.72</v>
      </c>
      <c r="H5" s="35">
        <v>-655225.76</v>
      </c>
    </row>
    <row r="6" spans="1:10">
      <c r="A6" t="s">
        <v>66</v>
      </c>
      <c r="B6" s="243">
        <v>-74965298</v>
      </c>
      <c r="C6" s="243">
        <v>-204938119</v>
      </c>
      <c r="D6" s="243">
        <v>-199075958</v>
      </c>
      <c r="E6" s="35">
        <v>-1138647.56</v>
      </c>
      <c r="F6" s="35">
        <v>-1117665.8999999999</v>
      </c>
      <c r="G6" s="35">
        <v>-1097943.81</v>
      </c>
      <c r="H6" s="35">
        <v>44071.54</v>
      </c>
      <c r="I6" s="35">
        <v>-218584.63</v>
      </c>
      <c r="J6" s="35">
        <v>-1938481.86</v>
      </c>
    </row>
    <row r="7" spans="1:10">
      <c r="A7" t="s">
        <v>67</v>
      </c>
      <c r="B7" s="243">
        <v>62724638</v>
      </c>
      <c r="C7" s="243">
        <v>25137282</v>
      </c>
      <c r="D7" s="243">
        <v>28101959</v>
      </c>
      <c r="E7" s="35">
        <v>184255.49</v>
      </c>
      <c r="F7" s="35">
        <v>262821.83</v>
      </c>
      <c r="G7" s="35">
        <v>272883.62</v>
      </c>
      <c r="H7" s="35">
        <v>757267.36</v>
      </c>
      <c r="I7" s="35">
        <v>765324.32</v>
      </c>
      <c r="J7" s="35">
        <v>765655.71</v>
      </c>
    </row>
    <row r="8" spans="1:10">
      <c r="A8" t="s">
        <v>68</v>
      </c>
      <c r="B8" s="243"/>
      <c r="C8" s="243">
        <v>19167541</v>
      </c>
      <c r="D8" s="243">
        <v>-156642179</v>
      </c>
      <c r="E8" s="35">
        <v>-1500061.61</v>
      </c>
      <c r="F8" s="35">
        <v>-1910257.85</v>
      </c>
      <c r="G8" s="35">
        <v>-1287864.99</v>
      </c>
      <c r="H8" s="35">
        <v>-552535.56999999995</v>
      </c>
      <c r="I8" s="35">
        <v>1451124.21</v>
      </c>
      <c r="J8" s="35">
        <v>1200514.96</v>
      </c>
    </row>
    <row r="9" spans="1:10">
      <c r="A9" t="s">
        <v>69</v>
      </c>
      <c r="B9" s="243">
        <v>-34143906</v>
      </c>
      <c r="C9" s="243">
        <v>103428909</v>
      </c>
      <c r="D9" s="243">
        <v>121522047</v>
      </c>
      <c r="E9" s="35">
        <v>725657.45</v>
      </c>
      <c r="F9" s="35">
        <v>574840.39</v>
      </c>
      <c r="G9" s="35">
        <v>631656.42000000004</v>
      </c>
      <c r="H9" s="35">
        <v>806870.92</v>
      </c>
      <c r="I9" s="35">
        <v>1156676.31</v>
      </c>
      <c r="J9" s="35">
        <v>1141109.71</v>
      </c>
    </row>
    <row r="10" spans="1:10">
      <c r="A10" t="s">
        <v>70</v>
      </c>
      <c r="B10" s="243">
        <v>-201761139</v>
      </c>
      <c r="C10" s="243">
        <v>-391239413</v>
      </c>
      <c r="D10" s="243">
        <v>-571353162</v>
      </c>
      <c r="E10" s="35">
        <v>-11365210.609999999</v>
      </c>
      <c r="F10" s="35">
        <v>-19766577.98</v>
      </c>
      <c r="G10" s="35">
        <v>-27268935.75</v>
      </c>
      <c r="H10" s="35">
        <v>-32127745.399999999</v>
      </c>
      <c r="I10" s="35">
        <v>-57260425.700000003</v>
      </c>
      <c r="J10" s="35">
        <v>-74323173.329999998</v>
      </c>
    </row>
    <row r="11" spans="1:10">
      <c r="A11" t="s">
        <v>71</v>
      </c>
      <c r="B11" s="243">
        <v>8987650</v>
      </c>
      <c r="C11" s="243">
        <v>81926069</v>
      </c>
      <c r="D11" s="243">
        <v>79643126</v>
      </c>
      <c r="E11" s="35">
        <v>231301.46</v>
      </c>
      <c r="F11" s="35">
        <v>110418.3</v>
      </c>
      <c r="G11" s="35">
        <v>-983675.13</v>
      </c>
      <c r="H11" s="35">
        <v>-9184.51</v>
      </c>
      <c r="I11" s="35">
        <v>157688.10999999999</v>
      </c>
      <c r="J11" s="35">
        <v>-1195455.1499999999</v>
      </c>
    </row>
    <row r="12" spans="1:10">
      <c r="A12" t="s">
        <v>72</v>
      </c>
      <c r="B12" s="243">
        <v>-281219593</v>
      </c>
      <c r="C12" s="243">
        <v>-597274058</v>
      </c>
      <c r="D12" s="243">
        <v>-288901557</v>
      </c>
      <c r="E12" s="35">
        <v>-2573610.35</v>
      </c>
      <c r="F12" s="35">
        <v>-2094592.66</v>
      </c>
      <c r="G12" s="35">
        <v>-4918279.5</v>
      </c>
      <c r="H12" s="35">
        <v>-4947479.25</v>
      </c>
      <c r="I12" s="35">
        <v>-4669406.4800000004</v>
      </c>
      <c r="J12" s="35">
        <v>-6964218.1699999999</v>
      </c>
    </row>
    <row r="13" spans="1:10">
      <c r="A13" t="s">
        <v>73</v>
      </c>
      <c r="B13" s="243">
        <v>2156502050</v>
      </c>
      <c r="C13" s="243">
        <v>2156502050</v>
      </c>
      <c r="D13" s="243">
        <v>2156502050</v>
      </c>
      <c r="E13" s="35">
        <v>12960838.359999999</v>
      </c>
      <c r="F13" s="35">
        <v>12960838.359999999</v>
      </c>
      <c r="G13" s="35">
        <v>12960838.359999999</v>
      </c>
      <c r="H13" s="35">
        <v>12305644.380000001</v>
      </c>
      <c r="I13" s="35">
        <v>11307983.529999999</v>
      </c>
      <c r="J13" s="35">
        <v>13147000.1</v>
      </c>
    </row>
    <row r="14" spans="1:10">
      <c r="A14" t="s">
        <v>98</v>
      </c>
      <c r="B14" s="243">
        <v>-50101321</v>
      </c>
      <c r="C14" s="243">
        <v>-45733375</v>
      </c>
      <c r="D14" s="243">
        <v>0</v>
      </c>
      <c r="E14" s="35">
        <v>-127840.59</v>
      </c>
      <c r="F14" s="35">
        <v>-112709.37</v>
      </c>
      <c r="G14" s="35">
        <v>-71873.06</v>
      </c>
      <c r="H14" s="35">
        <v>144006.32999999999</v>
      </c>
    </row>
    <row r="15" spans="1:10">
      <c r="A15" t="s">
        <v>99</v>
      </c>
      <c r="B15" s="243">
        <v>40469399</v>
      </c>
      <c r="C15" s="243"/>
      <c r="D15" s="243"/>
      <c r="E15" s="35"/>
      <c r="F15" s="35"/>
      <c r="G15" s="35"/>
      <c r="H15" s="35"/>
    </row>
    <row r="16" spans="1:10">
      <c r="A16" t="s">
        <v>100</v>
      </c>
      <c r="B16" s="243">
        <v>9184020</v>
      </c>
      <c r="C16" s="243">
        <v>9184020</v>
      </c>
      <c r="D16" s="243"/>
      <c r="E16" s="35"/>
      <c r="F16" s="35"/>
      <c r="G16" s="35"/>
      <c r="H16" s="35"/>
    </row>
    <row r="17" spans="1:10">
      <c r="A17" t="s">
        <v>75</v>
      </c>
      <c r="B17" s="243"/>
      <c r="C17" s="243"/>
      <c r="D17" s="243"/>
      <c r="E17" s="35">
        <v>1575167</v>
      </c>
      <c r="F17" s="35">
        <v>1587601.03</v>
      </c>
      <c r="G17" s="35">
        <v>1602323.8</v>
      </c>
      <c r="H17" s="35">
        <v>899250.14</v>
      </c>
      <c r="I17" s="35">
        <v>933962.25</v>
      </c>
      <c r="J17" s="35">
        <v>949674.33</v>
      </c>
    </row>
    <row r="18" spans="1:10">
      <c r="A18" t="s">
        <v>76</v>
      </c>
      <c r="B18" s="243"/>
      <c r="C18" s="243"/>
      <c r="D18" s="243">
        <v>116565665</v>
      </c>
      <c r="E18" s="35">
        <v>593689.44999999995</v>
      </c>
      <c r="F18" s="35">
        <v>517990.05</v>
      </c>
      <c r="G18" s="35">
        <v>615997.86</v>
      </c>
      <c r="H18" s="35">
        <v>484023.78</v>
      </c>
      <c r="I18" s="35">
        <v>560905.63</v>
      </c>
      <c r="J18" s="35">
        <v>654877.37</v>
      </c>
    </row>
    <row r="19" spans="1:10">
      <c r="A19" t="s">
        <v>77</v>
      </c>
      <c r="B19" s="243"/>
      <c r="C19" s="243"/>
      <c r="D19" s="243">
        <v>10008858</v>
      </c>
      <c r="E19" s="35">
        <v>70202.23</v>
      </c>
      <c r="F19" s="35">
        <v>75538.34</v>
      </c>
      <c r="G19" s="35"/>
      <c r="H19" s="35"/>
    </row>
    <row r="20" spans="1:10">
      <c r="A20" t="s">
        <v>101</v>
      </c>
      <c r="B20" s="243"/>
      <c r="C20" s="243"/>
      <c r="D20" s="243"/>
      <c r="E20" s="35"/>
      <c r="F20" s="35"/>
      <c r="G20" s="35">
        <v>-78511.12</v>
      </c>
      <c r="H20" s="35">
        <v>1456480.92</v>
      </c>
      <c r="I20" s="35">
        <v>2219249.06</v>
      </c>
      <c r="J20" s="35">
        <v>2116534.7999999998</v>
      </c>
    </row>
    <row r="21" spans="1:10">
      <c r="A21" t="s">
        <v>80</v>
      </c>
      <c r="B21" s="243"/>
      <c r="C21" s="243"/>
      <c r="D21" s="243"/>
      <c r="E21" s="35"/>
      <c r="F21" s="35"/>
      <c r="G21" s="35">
        <v>5834.5</v>
      </c>
      <c r="H21" s="35">
        <v>8465.32</v>
      </c>
      <c r="I21" s="35">
        <v>23474.58</v>
      </c>
      <c r="J21" s="35">
        <v>-963737.27</v>
      </c>
    </row>
    <row r="22" spans="1:10">
      <c r="A22" t="s">
        <v>102</v>
      </c>
      <c r="B22" s="243"/>
      <c r="C22" s="243"/>
      <c r="D22" s="243"/>
      <c r="E22" s="35"/>
      <c r="F22" s="35"/>
      <c r="G22" s="35">
        <v>-579192.14</v>
      </c>
      <c r="H22" s="35">
        <v>609256.81999999995</v>
      </c>
      <c r="I22" s="35">
        <v>3359206.25</v>
      </c>
      <c r="J22" s="35">
        <v>-20602666.329999998</v>
      </c>
    </row>
    <row r="23" spans="1:10">
      <c r="A23" t="s">
        <v>103</v>
      </c>
      <c r="B23" s="243"/>
      <c r="C23" s="243"/>
      <c r="D23" s="243"/>
      <c r="E23" s="35"/>
      <c r="F23" s="35"/>
      <c r="G23" s="35">
        <v>133015.21</v>
      </c>
      <c r="H23" s="35">
        <v>-827985.11</v>
      </c>
      <c r="I23" s="35">
        <v>-1099429.55</v>
      </c>
      <c r="J23" s="35">
        <v>-1381329.84</v>
      </c>
    </row>
    <row r="24" spans="1:10">
      <c r="A24" t="s">
        <v>104</v>
      </c>
      <c r="B24" s="243"/>
      <c r="C24" s="243"/>
      <c r="D24" s="243"/>
      <c r="E24" s="35"/>
      <c r="F24" s="35"/>
      <c r="G24" s="35">
        <v>282413.44</v>
      </c>
      <c r="H24" s="35">
        <v>-26147718.010000002</v>
      </c>
      <c r="I24" s="35">
        <v>-62288715.899999999</v>
      </c>
      <c r="J24" s="35">
        <v>-116947640.18000001</v>
      </c>
    </row>
    <row r="25" spans="1:10">
      <c r="A25" t="s">
        <v>84</v>
      </c>
      <c r="B25" s="243"/>
      <c r="C25" s="243"/>
      <c r="D25" s="243"/>
      <c r="E25" s="35"/>
      <c r="F25" s="35"/>
      <c r="G25" s="35">
        <v>-5639071.8200000003</v>
      </c>
      <c r="H25" s="35">
        <v>-24994497.34</v>
      </c>
      <c r="I25" s="35">
        <v>-69104164.760000005</v>
      </c>
      <c r="J25" s="35">
        <v>-97919723.799999997</v>
      </c>
    </row>
    <row r="26" spans="1:10">
      <c r="A26" t="s">
        <v>85</v>
      </c>
      <c r="B26" s="243"/>
      <c r="D26" s="243"/>
      <c r="E26" s="35"/>
      <c r="F26" s="35"/>
      <c r="G26" s="35">
        <v>5353.31</v>
      </c>
      <c r="H26" s="35">
        <v>-333019.95</v>
      </c>
    </row>
    <row r="27" spans="1:10">
      <c r="A27" t="s">
        <v>105</v>
      </c>
      <c r="B27" s="243"/>
      <c r="D27" s="243"/>
      <c r="E27" s="35"/>
      <c r="F27" s="35"/>
      <c r="G27" s="35"/>
      <c r="H27" s="35">
        <v>63590.6</v>
      </c>
      <c r="I27" s="35">
        <v>-1010502.3</v>
      </c>
      <c r="J27" s="35">
        <v>-2669640.29</v>
      </c>
    </row>
    <row r="28" spans="1:10">
      <c r="A28" t="s">
        <v>106</v>
      </c>
      <c r="B28" s="243"/>
      <c r="D28" s="243"/>
      <c r="E28" s="35"/>
      <c r="F28" s="35"/>
      <c r="G28" s="35"/>
      <c r="H28" s="35">
        <v>350.06</v>
      </c>
      <c r="I28" s="35">
        <v>-161568.56</v>
      </c>
      <c r="J28" s="35">
        <v>-180946.68</v>
      </c>
    </row>
    <row r="29" spans="1:10">
      <c r="A29" t="s">
        <v>88</v>
      </c>
      <c r="B29" s="243"/>
      <c r="D29" s="243"/>
      <c r="E29" s="35"/>
      <c r="F29" s="35"/>
      <c r="G29" s="35"/>
      <c r="H29" s="35"/>
      <c r="I29" s="35">
        <v>-2038629.12</v>
      </c>
      <c r="J29" s="35">
        <v>-2368732.5099999998</v>
      </c>
    </row>
    <row r="30" spans="1:10">
      <c r="A30" t="s">
        <v>107</v>
      </c>
      <c r="B30" s="243"/>
      <c r="D30" s="243"/>
      <c r="E30" s="35"/>
      <c r="F30" s="35"/>
      <c r="G30" s="35"/>
      <c r="H30" s="35"/>
      <c r="I30" s="35">
        <v>10524.04</v>
      </c>
      <c r="J30" s="35">
        <v>20846.64</v>
      </c>
    </row>
    <row r="31" spans="1:10">
      <c r="A31" t="s">
        <v>90</v>
      </c>
      <c r="B31" s="243"/>
      <c r="D31" s="243"/>
      <c r="E31" s="35"/>
      <c r="F31" s="35"/>
      <c r="G31" s="35"/>
      <c r="H31" s="35"/>
      <c r="I31" s="35" t="s">
        <v>108</v>
      </c>
      <c r="J31" s="35">
        <v>-51527.09</v>
      </c>
    </row>
    <row r="32" spans="1:10">
      <c r="A32" t="s">
        <v>91</v>
      </c>
      <c r="B32" s="243"/>
      <c r="D32" s="243"/>
      <c r="E32" s="35"/>
      <c r="F32" s="35"/>
      <c r="G32" s="35"/>
      <c r="H32" s="35"/>
      <c r="I32" s="35">
        <v>354.26</v>
      </c>
      <c r="J32" s="35">
        <v>1311.72</v>
      </c>
    </row>
    <row r="33" spans="1:10">
      <c r="A33" t="s">
        <v>92</v>
      </c>
      <c r="B33" s="243"/>
      <c r="D33" s="243"/>
      <c r="E33" s="35"/>
      <c r="F33" s="35"/>
      <c r="G33" s="35"/>
      <c r="H33" s="35"/>
      <c r="I33" s="35"/>
      <c r="J33" s="35">
        <v>0</v>
      </c>
    </row>
    <row r="34" spans="1:10">
      <c r="A34" t="s">
        <v>93</v>
      </c>
      <c r="B34" s="243"/>
      <c r="D34" s="243"/>
      <c r="E34" s="35"/>
      <c r="F34" s="35"/>
      <c r="G34" s="35"/>
      <c r="H34" s="35"/>
      <c r="I34" s="35">
        <v>-1806131.36</v>
      </c>
      <c r="J34" s="35">
        <v>-3610822.31</v>
      </c>
    </row>
    <row r="35" spans="1:10">
      <c r="A35" t="s">
        <v>94</v>
      </c>
      <c r="B35" s="243"/>
      <c r="D35" s="243"/>
      <c r="E35" s="35"/>
      <c r="F35" s="35"/>
      <c r="G35" s="35"/>
      <c r="H35" s="35"/>
      <c r="I35" s="35">
        <v>60491.44</v>
      </c>
      <c r="J35" s="35">
        <v>-3366571.51</v>
      </c>
    </row>
    <row r="36" spans="1:10">
      <c r="A36" t="s">
        <v>95</v>
      </c>
      <c r="B36" s="243"/>
      <c r="D36" s="243"/>
      <c r="E36" s="35"/>
      <c r="F36" s="35"/>
      <c r="G36" s="35"/>
      <c r="H36" s="35"/>
      <c r="I36" s="35">
        <v>76091.14</v>
      </c>
      <c r="J36" s="35">
        <v>81461.16</v>
      </c>
    </row>
    <row r="37" spans="1:10">
      <c r="B37" s="243"/>
      <c r="D37" s="243"/>
      <c r="E37" s="35"/>
      <c r="F37" s="35"/>
      <c r="G37" s="35"/>
      <c r="H37" s="35"/>
    </row>
    <row r="38" spans="1:10">
      <c r="A38" t="s">
        <v>4</v>
      </c>
      <c r="B38" s="35">
        <f>SUM(B3:B19)/166.386/1000000</f>
        <v>17.671377141105623</v>
      </c>
      <c r="C38" s="35">
        <f>SUM(C3:C19)/166.386/1000000</f>
        <v>9.6288186746481088</v>
      </c>
      <c r="D38" s="35">
        <f>SUM(D3:D19)/166.386/1000000</f>
        <v>21.821277667592227</v>
      </c>
      <c r="E38" s="35">
        <f>SUM(E3:E19)/1000000</f>
        <v>9.1126444799999966</v>
      </c>
      <c r="F38" s="35">
        <f>SUM(F3:F26)/1000000</f>
        <v>-2.193609030000002</v>
      </c>
      <c r="G38" s="35">
        <f>SUM(G3:G27)/1000000</f>
        <v>-23.623828499999998</v>
      </c>
      <c r="H38" s="35">
        <f>SUM(H3:H34)/1000000</f>
        <v>-67.688349060000007</v>
      </c>
      <c r="I38" s="35">
        <f>SUM(I3:I36)/1000000</f>
        <v>-179.96896597000006</v>
      </c>
      <c r="J38" s="35">
        <f>SUM(J3:J36)/1000000</f>
        <v>-326.65214213999997</v>
      </c>
    </row>
    <row r="39" spans="1:10">
      <c r="E39" s="35"/>
      <c r="G39" s="35"/>
      <c r="H39" s="35"/>
    </row>
    <row r="40" spans="1:10">
      <c r="A40" t="s">
        <v>109</v>
      </c>
      <c r="C40" s="35">
        <f>SUM(C3:C14)/166.386/1000000</f>
        <v>9.573621602779081</v>
      </c>
      <c r="E40" s="35"/>
      <c r="G40" s="35"/>
      <c r="H40" s="35"/>
    </row>
    <row r="41" spans="1:10">
      <c r="E41" s="35"/>
      <c r="G41" s="35"/>
      <c r="H41" s="35"/>
    </row>
    <row r="42" spans="1:10">
      <c r="E42" s="35"/>
      <c r="G42" s="35"/>
      <c r="H42" s="35"/>
    </row>
    <row r="43" spans="1:10">
      <c r="E43" s="35"/>
      <c r="G43" s="35"/>
    </row>
  </sheetData>
  <printOptions gridLines="1"/>
  <pageMargins left="0.74803149606299213" right="0.74803149606299213" top="0.98425196850393704" bottom="0.98425196850393704" header="0" footer="0"/>
  <pageSetup paperSize="9" scale="80" orientation="landscape"/>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00B050"/>
  </sheetPr>
  <dimension ref="A1:W37"/>
  <sheetViews>
    <sheetView showGridLines="0" view="pageBreakPreview" topLeftCell="A7" zoomScale="60" zoomScaleNormal="100" workbookViewId="0">
      <selection activeCell="Y20" sqref="Y20"/>
    </sheetView>
  </sheetViews>
  <sheetFormatPr baseColWidth="10" defaultColWidth="9.125" defaultRowHeight="15.65"/>
  <cols>
    <col min="1" max="1" width="15.5" style="7" customWidth="1"/>
    <col min="2" max="4" width="12.75" style="7" hidden="1" customWidth="1"/>
    <col min="5" max="5" width="12.75" style="4" hidden="1" customWidth="1"/>
    <col min="6" max="11" width="12.75" hidden="1" customWidth="1"/>
    <col min="12" max="13" width="13.75" hidden="1" customWidth="1"/>
    <col min="14" max="21" width="13.75" customWidth="1"/>
    <col min="22" max="22" width="11.875" customWidth="1"/>
    <col min="23" max="23" width="12.5" customWidth="1"/>
  </cols>
  <sheetData>
    <row r="1" spans="1:23" s="42" customFormat="1" ht="18" customHeight="1"/>
    <row r="2" spans="1:23" s="42" customFormat="1" ht="18" customHeight="1"/>
    <row r="3" spans="1:23" s="42" customFormat="1" ht="18" customHeight="1">
      <c r="A3" s="100"/>
      <c r="B3" s="100"/>
      <c r="C3" s="100"/>
      <c r="D3" s="100"/>
      <c r="E3" s="101"/>
      <c r="F3" s="101"/>
      <c r="G3" s="101"/>
      <c r="H3" s="101"/>
    </row>
    <row r="4" spans="1:23" s="42" customFormat="1" ht="20.399999999999999">
      <c r="A4" s="593" t="s">
        <v>133</v>
      </c>
      <c r="B4" s="593"/>
      <c r="C4" s="593"/>
      <c r="D4" s="593"/>
      <c r="E4" s="593"/>
      <c r="F4" s="593"/>
      <c r="G4" s="593"/>
      <c r="H4" s="593"/>
      <c r="I4" s="593"/>
      <c r="J4" s="593"/>
      <c r="K4" s="593"/>
      <c r="L4" s="593"/>
      <c r="M4" s="593"/>
      <c r="N4" s="593"/>
      <c r="O4" s="593"/>
      <c r="P4" s="593"/>
      <c r="Q4" s="593"/>
      <c r="R4" s="593"/>
      <c r="S4" s="593"/>
      <c r="T4" s="593"/>
      <c r="U4" s="593"/>
      <c r="V4" s="593"/>
      <c r="W4" s="593"/>
    </row>
    <row r="5" spans="1:23" s="42" customFormat="1" ht="19.55" customHeight="1">
      <c r="A5" s="133"/>
      <c r="B5" s="133"/>
      <c r="C5" s="133"/>
      <c r="D5" s="133"/>
      <c r="E5" s="133"/>
      <c r="F5" s="133"/>
      <c r="G5" s="133"/>
      <c r="H5" s="133"/>
    </row>
    <row r="6" spans="1:23" s="42" customFormat="1" ht="20.399999999999999">
      <c r="A6" s="133"/>
      <c r="B6" s="133"/>
      <c r="C6" s="133"/>
      <c r="D6" s="133"/>
      <c r="E6" s="133"/>
      <c r="F6" s="133"/>
      <c r="G6" s="133"/>
      <c r="H6" s="133"/>
    </row>
    <row r="7" spans="1:23" ht="16.5" customHeight="1">
      <c r="F7" s="25"/>
      <c r="G7" s="25"/>
      <c r="H7" s="25"/>
    </row>
    <row r="8" spans="1:23" ht="18.350000000000001">
      <c r="A8" s="111"/>
      <c r="B8" s="80">
        <v>1999</v>
      </c>
      <c r="C8" s="80">
        <v>2000</v>
      </c>
      <c r="D8" s="80">
        <v>2001</v>
      </c>
      <c r="E8" s="80">
        <v>2002</v>
      </c>
      <c r="F8" s="80">
        <v>2003</v>
      </c>
      <c r="G8" s="80">
        <v>2004</v>
      </c>
      <c r="H8" s="80">
        <v>2005</v>
      </c>
      <c r="I8" s="165">
        <v>2006</v>
      </c>
      <c r="J8" s="165">
        <v>2007</v>
      </c>
      <c r="K8" s="165">
        <v>2008</v>
      </c>
      <c r="L8" s="165">
        <v>2009</v>
      </c>
      <c r="M8" s="165">
        <v>2010</v>
      </c>
      <c r="N8" s="165">
        <v>2012</v>
      </c>
      <c r="O8" s="165">
        <v>2013</v>
      </c>
      <c r="P8" s="165">
        <v>2014</v>
      </c>
      <c r="Q8" s="165">
        <v>2015</v>
      </c>
      <c r="R8" s="165">
        <v>2016</v>
      </c>
      <c r="S8" s="165">
        <v>2017</v>
      </c>
      <c r="T8" s="165">
        <v>2018</v>
      </c>
      <c r="U8" s="165">
        <v>2019</v>
      </c>
      <c r="V8" s="165">
        <v>2020</v>
      </c>
      <c r="W8" s="165">
        <v>2021</v>
      </c>
    </row>
    <row r="9" spans="1:23" ht="12.1" customHeight="1" thickBot="1">
      <c r="A9" s="141" t="s">
        <v>199</v>
      </c>
      <c r="B9" s="134"/>
      <c r="C9" s="134"/>
      <c r="D9" s="134"/>
      <c r="E9" s="134"/>
      <c r="F9" s="86"/>
      <c r="G9" s="86"/>
      <c r="H9" s="86"/>
      <c r="I9" s="248"/>
      <c r="J9" s="248"/>
      <c r="K9" s="248"/>
      <c r="L9" s="157"/>
      <c r="M9" s="157"/>
    </row>
    <row r="10" spans="1:23" ht="32.950000000000003" customHeight="1" thickTop="1">
      <c r="A10" s="83" t="s">
        <v>180</v>
      </c>
      <c r="B10" s="135">
        <v>302.3</v>
      </c>
      <c r="C10" s="135">
        <v>341.04</v>
      </c>
      <c r="D10" s="135">
        <v>373.26</v>
      </c>
      <c r="E10" s="136">
        <v>405.58</v>
      </c>
      <c r="F10" s="137">
        <v>457.76</v>
      </c>
      <c r="G10" s="137">
        <v>496.87</v>
      </c>
      <c r="H10" s="137">
        <v>558.59</v>
      </c>
      <c r="I10" s="131">
        <v>536.16</v>
      </c>
      <c r="J10" s="131">
        <v>585.14</v>
      </c>
      <c r="K10" s="137">
        <v>639.54999999999995</v>
      </c>
      <c r="L10" s="137">
        <v>673.59</v>
      </c>
      <c r="M10" s="137">
        <v>655.12</v>
      </c>
      <c r="N10" s="435">
        <f>583394780.61/1000000</f>
        <v>583.39478061</v>
      </c>
      <c r="O10" s="435">
        <v>581.98</v>
      </c>
      <c r="P10" s="435">
        <v>598.77</v>
      </c>
      <c r="Q10" s="435">
        <v>626.01</v>
      </c>
      <c r="R10" s="435">
        <v>649.48</v>
      </c>
      <c r="S10" s="435">
        <v>689.78</v>
      </c>
      <c r="T10" s="435">
        <v>731.19</v>
      </c>
      <c r="U10" s="435">
        <v>781.71</v>
      </c>
      <c r="V10" s="435">
        <v>812.66</v>
      </c>
      <c r="W10" s="435">
        <v>850.77</v>
      </c>
    </row>
    <row r="11" spans="1:23" ht="33.799999999999997" customHeight="1">
      <c r="A11" s="83" t="s">
        <v>181</v>
      </c>
      <c r="B11" s="135">
        <v>56.4</v>
      </c>
      <c r="C11" s="135">
        <v>61.17</v>
      </c>
      <c r="D11" s="135">
        <v>59.02</v>
      </c>
      <c r="E11" s="136">
        <v>63.02</v>
      </c>
      <c r="F11" s="137">
        <v>78.150000000000006</v>
      </c>
      <c r="G11" s="137">
        <v>65.06</v>
      </c>
      <c r="H11" s="137">
        <v>79.930000000000007</v>
      </c>
      <c r="I11" s="165">
        <v>94.77</v>
      </c>
      <c r="J11" s="165">
        <v>104.55</v>
      </c>
      <c r="K11" s="137">
        <v>101.79</v>
      </c>
      <c r="L11" s="137">
        <v>98.99</v>
      </c>
      <c r="M11" s="137">
        <v>92.6</v>
      </c>
      <c r="N11" s="137">
        <f>78286080.87/1000000</f>
        <v>78.286080870000006</v>
      </c>
      <c r="O11" s="137">
        <v>74.150000000000006</v>
      </c>
      <c r="P11" s="137">
        <v>75.540000000000006</v>
      </c>
      <c r="Q11" s="137">
        <v>78.52</v>
      </c>
      <c r="R11" s="137">
        <v>79.55</v>
      </c>
      <c r="S11" s="137">
        <v>90.06</v>
      </c>
      <c r="T11" s="137">
        <v>104.72</v>
      </c>
      <c r="U11" s="137">
        <v>116.76</v>
      </c>
      <c r="V11" s="137">
        <v>118.54</v>
      </c>
      <c r="W11" s="137">
        <v>137.31</v>
      </c>
    </row>
    <row r="12" spans="1:23" ht="32.950000000000003" customHeight="1">
      <c r="A12" s="83" t="s">
        <v>182</v>
      </c>
      <c r="B12" s="135">
        <v>16.55</v>
      </c>
      <c r="C12" s="135">
        <v>16.170000000000002</v>
      </c>
      <c r="D12" s="135">
        <v>17.72</v>
      </c>
      <c r="E12" s="136">
        <v>20.52</v>
      </c>
      <c r="F12" s="137">
        <v>24.23</v>
      </c>
      <c r="G12" s="137">
        <v>26.9</v>
      </c>
      <c r="H12" s="137">
        <v>32.44</v>
      </c>
      <c r="I12" s="165">
        <v>42.24</v>
      </c>
      <c r="J12" s="165">
        <v>46.33</v>
      </c>
      <c r="K12" s="137">
        <v>62.69</v>
      </c>
      <c r="L12" s="137">
        <v>66.16</v>
      </c>
      <c r="M12" s="137">
        <v>75.73</v>
      </c>
      <c r="N12" s="137">
        <f>223778743.93/1000000</f>
        <v>223.77874393000002</v>
      </c>
      <c r="O12" s="137">
        <v>225.79</v>
      </c>
      <c r="P12" s="137">
        <v>226.83</v>
      </c>
      <c r="Q12" s="137">
        <v>143.96</v>
      </c>
      <c r="R12" s="137">
        <v>90.72</v>
      </c>
      <c r="S12" s="137">
        <v>105.4</v>
      </c>
      <c r="T12" s="137">
        <v>127.08</v>
      </c>
      <c r="U12" s="137">
        <v>121.44</v>
      </c>
      <c r="V12" s="137">
        <v>103.86</v>
      </c>
      <c r="W12" s="137">
        <v>56.01</v>
      </c>
    </row>
    <row r="13" spans="1:23" ht="32.950000000000003" customHeight="1">
      <c r="A13" s="83" t="s">
        <v>183</v>
      </c>
      <c r="B13" s="135">
        <v>171.41</v>
      </c>
      <c r="C13" s="135">
        <v>215.79</v>
      </c>
      <c r="D13" s="135">
        <v>248.8</v>
      </c>
      <c r="E13" s="136">
        <v>1041.51</v>
      </c>
      <c r="F13" s="137">
        <v>1133.8699999999999</v>
      </c>
      <c r="G13" s="137">
        <v>1185.1600000000001</v>
      </c>
      <c r="H13" s="137">
        <v>1690.74</v>
      </c>
      <c r="I13" s="131">
        <v>1706.6</v>
      </c>
      <c r="J13" s="131">
        <v>1930.86</v>
      </c>
      <c r="K13" s="137">
        <v>2105.65</v>
      </c>
      <c r="L13" s="137">
        <v>2261.58</v>
      </c>
      <c r="M13" s="137">
        <v>2290.2800000000002</v>
      </c>
      <c r="N13" s="137">
        <f>3701497725.28/1000000</f>
        <v>3701.4977252800004</v>
      </c>
      <c r="O13" s="137">
        <v>1790.59</v>
      </c>
      <c r="P13" s="137">
        <v>1874.82</v>
      </c>
      <c r="Q13" s="137">
        <v>2061.52</v>
      </c>
      <c r="R13" s="137">
        <v>2193.63</v>
      </c>
      <c r="S13" s="137">
        <v>2410.5700000000002</v>
      </c>
      <c r="T13" s="137">
        <v>2493.34</v>
      </c>
      <c r="U13" s="137">
        <v>2765.86</v>
      </c>
      <c r="V13" s="137">
        <v>3029.83</v>
      </c>
      <c r="W13" s="137">
        <v>3881.37</v>
      </c>
    </row>
    <row r="14" spans="1:23" ht="32.950000000000003" customHeight="1">
      <c r="A14" s="83" t="s">
        <v>184</v>
      </c>
      <c r="B14" s="135">
        <v>139.66</v>
      </c>
      <c r="C14" s="135">
        <v>133.41999999999999</v>
      </c>
      <c r="D14" s="135">
        <v>144.22999999999999</v>
      </c>
      <c r="E14" s="136">
        <v>184.18</v>
      </c>
      <c r="F14" s="137">
        <v>160.66999999999999</v>
      </c>
      <c r="G14" s="137">
        <v>249.35</v>
      </c>
      <c r="H14" s="137">
        <v>312.64999999999998</v>
      </c>
      <c r="I14" s="165">
        <v>207.38</v>
      </c>
      <c r="J14" s="165">
        <v>225.1</v>
      </c>
      <c r="K14" s="137">
        <v>222.06</v>
      </c>
      <c r="L14" s="137">
        <v>201.2</v>
      </c>
      <c r="M14" s="137">
        <v>149.72</v>
      </c>
      <c r="N14" s="137">
        <f>103.01</f>
        <v>103.01</v>
      </c>
      <c r="O14" s="137">
        <v>119.23</v>
      </c>
      <c r="P14" s="137">
        <v>109.12</v>
      </c>
      <c r="Q14" s="137">
        <v>113.57</v>
      </c>
      <c r="R14" s="137">
        <v>122.05</v>
      </c>
      <c r="S14" s="137">
        <v>115.57</v>
      </c>
      <c r="T14" s="137">
        <v>250.83</v>
      </c>
      <c r="U14" s="137">
        <v>199.72</v>
      </c>
      <c r="V14" s="137">
        <v>153.33000000000001</v>
      </c>
      <c r="W14" s="137">
        <v>131.32</v>
      </c>
    </row>
    <row r="15" spans="1:23" ht="32.950000000000003" customHeight="1">
      <c r="A15" s="83" t="s">
        <v>185</v>
      </c>
      <c r="B15" s="135">
        <v>140.66999999999999</v>
      </c>
      <c r="C15" s="135">
        <v>158.99</v>
      </c>
      <c r="D15" s="135">
        <v>156</v>
      </c>
      <c r="E15" s="136">
        <v>264.56</v>
      </c>
      <c r="F15" s="137">
        <v>268.85000000000002</v>
      </c>
      <c r="G15" s="137">
        <v>280.33</v>
      </c>
      <c r="H15" s="137">
        <v>268.79000000000002</v>
      </c>
      <c r="I15" s="165">
        <v>327.37</v>
      </c>
      <c r="J15" s="165">
        <v>372.59</v>
      </c>
      <c r="K15" s="137">
        <v>460.62</v>
      </c>
      <c r="L15" s="137">
        <v>579.49</v>
      </c>
      <c r="M15" s="137">
        <v>532.37</v>
      </c>
      <c r="N15" s="137">
        <f>287833987.84/1000000</f>
        <v>287.83398783999996</v>
      </c>
      <c r="O15" s="137">
        <v>302.73</v>
      </c>
      <c r="P15" s="137">
        <v>297.74</v>
      </c>
      <c r="Q15" s="137">
        <v>326.99</v>
      </c>
      <c r="R15" s="137">
        <v>328.35</v>
      </c>
      <c r="S15" s="137">
        <v>465.98</v>
      </c>
      <c r="T15" s="137">
        <v>412.87</v>
      </c>
      <c r="U15" s="137">
        <v>425.1</v>
      </c>
      <c r="V15" s="137">
        <v>420.74</v>
      </c>
      <c r="W15" s="137">
        <v>453.67</v>
      </c>
    </row>
    <row r="16" spans="1:23" ht="32.950000000000003" customHeight="1">
      <c r="A16" s="83" t="s">
        <v>187</v>
      </c>
      <c r="B16" s="135">
        <v>3.53</v>
      </c>
      <c r="C16" s="135">
        <v>6.87</v>
      </c>
      <c r="D16" s="135">
        <v>10.26</v>
      </c>
      <c r="E16" s="136">
        <v>8.92</v>
      </c>
      <c r="F16" s="137">
        <v>5.37</v>
      </c>
      <c r="G16" s="137">
        <v>1</v>
      </c>
      <c r="H16" s="137">
        <v>3.22</v>
      </c>
      <c r="I16" s="165">
        <v>0.67</v>
      </c>
      <c r="J16" s="165">
        <v>0.38</v>
      </c>
      <c r="K16" s="137">
        <v>1.28</v>
      </c>
      <c r="L16" s="137">
        <v>3.64</v>
      </c>
      <c r="M16" s="137">
        <v>0.44</v>
      </c>
      <c r="N16" s="137">
        <f>169625193.72/1000000</f>
        <v>169.62519372</v>
      </c>
      <c r="O16" s="137">
        <v>0</v>
      </c>
      <c r="P16" s="137">
        <v>327.92</v>
      </c>
      <c r="Q16" s="137">
        <v>146.03</v>
      </c>
      <c r="R16" s="137">
        <v>133.88</v>
      </c>
      <c r="S16" s="137">
        <v>15.69</v>
      </c>
      <c r="T16" s="137">
        <v>41.33</v>
      </c>
      <c r="U16" s="137">
        <v>31.07</v>
      </c>
      <c r="V16" s="137">
        <v>31.22</v>
      </c>
      <c r="W16" s="137">
        <v>31.58</v>
      </c>
    </row>
    <row r="17" spans="1:23" ht="32.299999999999997" customHeight="1">
      <c r="A17" s="83" t="s">
        <v>186</v>
      </c>
      <c r="B17" s="135">
        <v>50.38</v>
      </c>
      <c r="C17" s="135">
        <v>8.93</v>
      </c>
      <c r="D17" s="135">
        <v>4.01</v>
      </c>
      <c r="E17" s="136">
        <v>4.01</v>
      </c>
      <c r="F17" s="136">
        <v>6.19</v>
      </c>
      <c r="G17" s="136">
        <v>10.24</v>
      </c>
      <c r="H17" s="136">
        <v>42.27</v>
      </c>
      <c r="I17" s="165">
        <v>42.07</v>
      </c>
      <c r="J17" s="165">
        <v>42.07</v>
      </c>
      <c r="K17" s="137">
        <v>42.07</v>
      </c>
      <c r="L17" s="137">
        <v>79.91</v>
      </c>
      <c r="M17" s="137">
        <v>69.25</v>
      </c>
      <c r="N17" s="137">
        <f>480897863.33/1000000</f>
        <v>480.89786333000001</v>
      </c>
      <c r="O17" s="137">
        <v>485.45</v>
      </c>
      <c r="P17" s="137">
        <v>675.74</v>
      </c>
      <c r="Q17" s="137">
        <v>501.76</v>
      </c>
      <c r="R17" s="137">
        <v>709.61</v>
      </c>
      <c r="S17" s="137">
        <v>804.89</v>
      </c>
      <c r="T17" s="137">
        <v>860.06</v>
      </c>
      <c r="U17" s="137">
        <v>988.02</v>
      </c>
      <c r="V17" s="137">
        <v>1475.92</v>
      </c>
      <c r="W17" s="137">
        <v>1163.99</v>
      </c>
    </row>
    <row r="18" spans="1:23" ht="14.3" customHeight="1" thickBot="1">
      <c r="A18" s="86"/>
      <c r="B18" s="138"/>
      <c r="C18" s="138"/>
      <c r="D18" s="138"/>
      <c r="E18" s="138"/>
      <c r="F18" s="86"/>
      <c r="G18" s="111"/>
      <c r="H18" s="111"/>
      <c r="I18" s="248"/>
      <c r="J18" s="248"/>
      <c r="Q18" s="137"/>
      <c r="R18" s="137"/>
      <c r="S18" s="137"/>
      <c r="T18" s="137"/>
      <c r="U18" s="137"/>
      <c r="V18" s="137"/>
      <c r="W18" s="137"/>
    </row>
    <row r="19" spans="1:23" s="102" customFormat="1" ht="39.1" customHeight="1" thickTop="1" thickBot="1">
      <c r="A19" s="216" t="s">
        <v>4</v>
      </c>
      <c r="B19" s="217">
        <f>SUM(B10:B18)</f>
        <v>880.89999999999986</v>
      </c>
      <c r="C19" s="217">
        <f>SUM(C10:C18)</f>
        <v>942.38</v>
      </c>
      <c r="D19" s="217">
        <f>SUM(D10:D18)</f>
        <v>1013.3</v>
      </c>
      <c r="E19" s="217">
        <f>SUM(E10:E18)</f>
        <v>1992.3</v>
      </c>
      <c r="F19" s="217">
        <f t="shared" ref="F19:M19" si="0">SUM(F10:F17)</f>
        <v>2135.0899999999997</v>
      </c>
      <c r="G19" s="217">
        <f t="shared" si="0"/>
        <v>2314.91</v>
      </c>
      <c r="H19" s="217">
        <f t="shared" si="0"/>
        <v>2988.6299999999997</v>
      </c>
      <c r="I19" s="217">
        <f t="shared" si="0"/>
        <v>2957.26</v>
      </c>
      <c r="J19" s="217">
        <f t="shared" si="0"/>
        <v>3307.0200000000004</v>
      </c>
      <c r="K19" s="217">
        <f t="shared" si="0"/>
        <v>3635.7100000000005</v>
      </c>
      <c r="L19" s="217">
        <f t="shared" si="0"/>
        <v>3964.559999999999</v>
      </c>
      <c r="M19" s="217">
        <f t="shared" si="0"/>
        <v>3865.51</v>
      </c>
      <c r="N19" s="217">
        <f t="shared" ref="N19:V19" si="1">SUM(N10:N17)</f>
        <v>5628.3243755800013</v>
      </c>
      <c r="O19" s="217">
        <f t="shared" si="1"/>
        <v>3579.9199999999996</v>
      </c>
      <c r="P19" s="217">
        <f t="shared" si="1"/>
        <v>4186.4799999999996</v>
      </c>
      <c r="Q19" s="217">
        <f t="shared" si="1"/>
        <v>3998.3600000000006</v>
      </c>
      <c r="R19" s="217">
        <f t="shared" si="1"/>
        <v>4307.2700000000004</v>
      </c>
      <c r="S19" s="217">
        <f t="shared" si="1"/>
        <v>4697.9400000000005</v>
      </c>
      <c r="T19" s="217">
        <f t="shared" si="1"/>
        <v>5021.42</v>
      </c>
      <c r="U19" s="217">
        <f t="shared" si="1"/>
        <v>5429.68</v>
      </c>
      <c r="V19" s="217">
        <f t="shared" si="1"/>
        <v>6146.1</v>
      </c>
      <c r="W19" s="217">
        <f t="shared" ref="W19" si="2">SUM(W10:W17)</f>
        <v>6706.0199999999995</v>
      </c>
    </row>
    <row r="20" spans="1:23" s="67" customFormat="1" ht="39.1" customHeight="1" thickTop="1">
      <c r="A20" s="590" t="s">
        <v>197</v>
      </c>
      <c r="B20" s="591"/>
      <c r="C20" s="591"/>
      <c r="D20" s="591"/>
      <c r="E20" s="591"/>
      <c r="F20" s="591"/>
      <c r="G20" s="591"/>
      <c r="H20" s="591"/>
      <c r="I20" s="591"/>
      <c r="J20" s="591"/>
      <c r="K20" s="591"/>
      <c r="L20" s="591"/>
      <c r="M20" s="591"/>
      <c r="N20" s="591"/>
      <c r="O20" s="591"/>
      <c r="P20" s="591"/>
      <c r="Q20" s="591"/>
      <c r="R20" s="591"/>
      <c r="S20" s="591"/>
      <c r="T20" s="591"/>
      <c r="U20" s="591"/>
    </row>
    <row r="21" spans="1:23">
      <c r="A21" s="518" t="s">
        <v>253</v>
      </c>
      <c r="B21" s="518"/>
      <c r="C21" s="518"/>
      <c r="D21" s="518"/>
      <c r="E21" s="518"/>
      <c r="F21" s="518"/>
      <c r="G21" s="518"/>
      <c r="H21" s="518"/>
      <c r="I21" s="518"/>
      <c r="J21" s="518"/>
      <c r="K21" s="518"/>
      <c r="L21" s="518"/>
      <c r="M21" s="518"/>
      <c r="N21" s="518"/>
      <c r="O21" s="518"/>
      <c r="P21" s="518"/>
      <c r="Q21" s="518"/>
      <c r="R21" s="518"/>
      <c r="S21" s="518"/>
      <c r="T21" s="518"/>
      <c r="U21" s="518"/>
    </row>
    <row r="22" spans="1:23" s="67" customFormat="1">
      <c r="A22" s="41" t="s">
        <v>254</v>
      </c>
      <c r="B22" s="518"/>
      <c r="C22" s="518"/>
      <c r="D22" s="518"/>
      <c r="E22" s="518"/>
      <c r="F22" s="518"/>
      <c r="G22" s="518"/>
      <c r="H22" s="518"/>
      <c r="I22" s="518"/>
      <c r="J22" s="518"/>
      <c r="K22" s="518"/>
      <c r="L22" s="518"/>
      <c r="M22" s="518"/>
      <c r="N22" s="518"/>
      <c r="O22" s="518"/>
      <c r="P22" s="518"/>
      <c r="Q22" s="518"/>
      <c r="R22" s="518"/>
      <c r="S22" s="518"/>
      <c r="T22" s="518"/>
      <c r="U22" s="518"/>
    </row>
    <row r="23" spans="1:23" s="67" customFormat="1" ht="20.25" customHeight="1">
      <c r="A23" s="510"/>
      <c r="B23" s="510"/>
      <c r="C23" s="510"/>
      <c r="D23" s="510"/>
      <c r="E23" s="510"/>
      <c r="F23" s="510"/>
      <c r="G23" s="510"/>
      <c r="H23" s="510"/>
      <c r="I23" s="510"/>
      <c r="J23" s="510"/>
      <c r="K23" s="510"/>
      <c r="L23" s="510"/>
      <c r="M23" s="510"/>
      <c r="N23" s="510"/>
      <c r="O23" s="510"/>
      <c r="Q23" s="512"/>
      <c r="R23" s="510"/>
      <c r="S23" s="510"/>
      <c r="T23" s="518"/>
      <c r="U23" s="510"/>
    </row>
    <row r="24" spans="1:23" s="67" customFormat="1">
      <c r="A24" s="32"/>
      <c r="B24" s="32"/>
      <c r="C24" s="32"/>
      <c r="D24" s="516"/>
      <c r="E24" s="48"/>
    </row>
    <row r="25" spans="1:23" s="67" customFormat="1">
      <c r="A25" s="32"/>
      <c r="B25" s="32"/>
      <c r="C25" s="32"/>
      <c r="D25" s="516">
        <f>9820681737/166.386</f>
        <v>59023485.972377487</v>
      </c>
      <c r="E25" s="48"/>
    </row>
    <row r="26" spans="1:23">
      <c r="D26" s="38">
        <f>2947768527/166.386</f>
        <v>17716445.65648552</v>
      </c>
      <c r="F26" s="32"/>
    </row>
    <row r="27" spans="1:23">
      <c r="D27" s="38">
        <f>41396318389/166.386</f>
        <v>248796884.28713953</v>
      </c>
      <c r="F27" s="7"/>
    </row>
    <row r="28" spans="1:23">
      <c r="D28" s="38">
        <f>23997959124/166.386</f>
        <v>144230639.14031228</v>
      </c>
    </row>
    <row r="29" spans="1:23">
      <c r="D29" s="38">
        <f>25956486319/166.386</f>
        <v>156001624.64991045</v>
      </c>
    </row>
    <row r="30" spans="1:23">
      <c r="D30" s="38">
        <f>1707509504/166.386</f>
        <v>10262338.802543484</v>
      </c>
    </row>
    <row r="31" spans="1:23">
      <c r="D31" s="38">
        <f>666666666/166.386</f>
        <v>4006747.3585518012</v>
      </c>
    </row>
    <row r="32" spans="1:23" ht="12.9">
      <c r="A32"/>
      <c r="B32"/>
      <c r="C32"/>
      <c r="D32"/>
      <c r="E32"/>
    </row>
    <row r="33" customFormat="1" ht="12.9"/>
    <row r="34" customFormat="1" ht="12.75" customHeight="1"/>
    <row r="35" customFormat="1" ht="9" customHeight="1"/>
    <row r="36" customFormat="1" ht="12.9"/>
    <row r="37" customFormat="1" ht="12.9"/>
  </sheetData>
  <mergeCells count="2">
    <mergeCell ref="A20:U20"/>
    <mergeCell ref="A4:W4"/>
  </mergeCells>
  <pageMargins left="0.70866141732283472" right="0.51181102362204722" top="0.55118110236220474" bottom="0.55118110236220474" header="0.31496062992125984" footer="0.51181102362204722"/>
  <pageSetup paperSize="9" scale="86"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00B050"/>
  </sheetPr>
  <dimension ref="A1:W58"/>
  <sheetViews>
    <sheetView showGridLines="0" zoomScaleNormal="100" workbookViewId="0">
      <selection activeCell="U9" sqref="U9"/>
    </sheetView>
  </sheetViews>
  <sheetFormatPr baseColWidth="10" defaultRowHeight="15.65"/>
  <cols>
    <col min="1" max="1" width="26.75" style="33" bestFit="1" customWidth="1"/>
    <col min="2" max="2" width="11.125" style="33" hidden="1" customWidth="1"/>
    <col min="3" max="4" width="11.25" style="33" hidden="1" customWidth="1"/>
    <col min="5" max="5" width="11.375" hidden="1" customWidth="1"/>
    <col min="6" max="9" width="11.375" style="35" hidden="1" customWidth="1"/>
    <col min="10" max="11" width="11.875" hidden="1" customWidth="1"/>
    <col min="12" max="13" width="13.75" hidden="1" customWidth="1"/>
    <col min="14" max="24" width="13.75" customWidth="1"/>
  </cols>
  <sheetData>
    <row r="1" spans="1:23" ht="18" customHeight="1">
      <c r="A1" s="44"/>
      <c r="B1" s="45"/>
      <c r="C1" s="45"/>
      <c r="D1" s="45"/>
    </row>
    <row r="2" spans="1:23" ht="18" customHeight="1">
      <c r="A2" s="44"/>
      <c r="B2" s="45"/>
      <c r="C2" s="45"/>
      <c r="D2" s="45"/>
    </row>
    <row r="3" spans="1:23" ht="18" customHeight="1">
      <c r="A3" s="46"/>
      <c r="B3" s="45"/>
      <c r="C3" s="45"/>
      <c r="D3" s="45"/>
    </row>
    <row r="4" spans="1:23" ht="20.399999999999999">
      <c r="A4" s="592" t="s">
        <v>232</v>
      </c>
      <c r="B4" s="592"/>
      <c r="C4" s="592"/>
      <c r="D4" s="592"/>
      <c r="E4" s="592"/>
      <c r="F4" s="592"/>
      <c r="G4" s="592"/>
      <c r="H4" s="592"/>
      <c r="I4" s="592"/>
      <c r="J4" s="592"/>
      <c r="K4" s="592"/>
      <c r="L4" s="592"/>
      <c r="M4" s="592"/>
      <c r="N4" s="592"/>
      <c r="O4" s="592"/>
      <c r="P4" s="592"/>
      <c r="Q4" s="592"/>
      <c r="R4" s="592"/>
      <c r="S4" s="592"/>
      <c r="T4" s="592"/>
      <c r="U4" s="592"/>
      <c r="V4" s="592"/>
      <c r="W4" s="592"/>
    </row>
    <row r="5" spans="1:23" ht="18" customHeight="1">
      <c r="A5" s="119"/>
      <c r="B5" s="119"/>
      <c r="C5" s="119"/>
      <c r="D5" s="119"/>
      <c r="E5" s="119"/>
      <c r="F5" s="119"/>
      <c r="G5" s="119"/>
      <c r="H5" s="119"/>
      <c r="I5" s="119"/>
    </row>
    <row r="6" spans="1:23" ht="18" customHeight="1">
      <c r="F6" s="34"/>
      <c r="G6" s="34"/>
      <c r="H6" s="34"/>
      <c r="I6" s="34"/>
    </row>
    <row r="7" spans="1:23" ht="18.350000000000001">
      <c r="A7" s="7"/>
      <c r="B7" s="124">
        <v>1999</v>
      </c>
      <c r="C7" s="124">
        <v>2000</v>
      </c>
      <c r="D7" s="124">
        <v>2001</v>
      </c>
      <c r="E7" s="125" t="s">
        <v>7</v>
      </c>
      <c r="F7" s="125" t="s">
        <v>9</v>
      </c>
      <c r="G7" s="215">
        <v>2004</v>
      </c>
      <c r="H7" s="215">
        <v>2005</v>
      </c>
      <c r="I7" s="165">
        <v>2006</v>
      </c>
      <c r="J7" s="165">
        <v>2007</v>
      </c>
      <c r="K7" s="95">
        <v>2008</v>
      </c>
      <c r="L7" s="95">
        <v>2009</v>
      </c>
      <c r="M7" s="95">
        <v>2010</v>
      </c>
      <c r="N7" s="95">
        <v>2012</v>
      </c>
      <c r="O7" s="95">
        <v>2013</v>
      </c>
      <c r="P7" s="95">
        <v>2014</v>
      </c>
      <c r="Q7" s="95">
        <v>2015</v>
      </c>
      <c r="R7" s="95">
        <v>2016</v>
      </c>
      <c r="S7" s="95">
        <v>2017</v>
      </c>
      <c r="T7" s="95">
        <v>2018</v>
      </c>
      <c r="U7" s="95">
        <v>2019</v>
      </c>
      <c r="V7" s="95">
        <v>2020</v>
      </c>
      <c r="W7" s="95">
        <v>2021</v>
      </c>
    </row>
    <row r="8" spans="1:23" ht="13.6" customHeight="1" thickBot="1">
      <c r="A8" s="142" t="s">
        <v>199</v>
      </c>
      <c r="B8" s="143"/>
      <c r="C8" s="143"/>
      <c r="D8" s="143"/>
      <c r="E8" s="144"/>
      <c r="F8" s="145"/>
      <c r="G8" s="145"/>
      <c r="H8" s="145"/>
      <c r="I8" s="248"/>
      <c r="J8" s="248"/>
      <c r="K8" s="248"/>
      <c r="L8" s="157"/>
      <c r="M8" s="157"/>
    </row>
    <row r="9" spans="1:23" ht="25" customHeight="1" thickTop="1">
      <c r="A9" s="95" t="s">
        <v>141</v>
      </c>
      <c r="B9" s="139">
        <f>SUM('DRETS RECONEGUTS CAIB'!B10:B14)</f>
        <v>796.3</v>
      </c>
      <c r="C9" s="139">
        <f>SUM('DRETS RECONEGUTS CAIB'!C10:C14)</f>
        <v>873.73</v>
      </c>
      <c r="D9" s="139">
        <f>SUM('DRETS RECONEGUTS CAIB'!D10:D14)</f>
        <v>859.57</v>
      </c>
      <c r="E9" s="139">
        <f>SUM('DRETS RECONEGUTS CAIB'!E10:E14)</f>
        <v>1807.94</v>
      </c>
      <c r="F9" s="139">
        <f>SUM('DRETS RECONEGUTS CAIB'!F10:F14)</f>
        <v>2044.61</v>
      </c>
      <c r="G9" s="139">
        <f>SUM('DRETS RECONEGUTS CAIB'!G10:G14)</f>
        <v>2678.88</v>
      </c>
      <c r="H9" s="139">
        <f>SUM('DRETS RECONEGUTS CAIB'!H10:H14)</f>
        <v>2489.8200000000002</v>
      </c>
      <c r="I9" s="139">
        <f>SUM('DRETS RECONEGUTS CAIB'!I10:I14)</f>
        <v>2864.9500000000003</v>
      </c>
      <c r="J9" s="139">
        <f>SUM('DRETS RECONEGUTS CAIB'!J10:J14)</f>
        <v>2969.8599999999997</v>
      </c>
      <c r="K9" s="139">
        <f>SUM('DRETS RECONEGUTS CAIB'!K10:K14)</f>
        <v>2816.23</v>
      </c>
      <c r="L9" s="139">
        <f>SUM('DRETS RECONEGUTS CAIB'!L10:L14)</f>
        <v>2973.04</v>
      </c>
      <c r="M9" s="139">
        <f>SUM('DRETS RECONEGUTS CAIB'!M10:M14)</f>
        <v>2684.16</v>
      </c>
      <c r="N9" s="436">
        <f>SUM('DRETS RECONEGUTS CAIB'!N10:N14)</f>
        <v>3906.2508572299998</v>
      </c>
      <c r="O9" s="436">
        <f>SUM('DRETS RECONEGUTS CAIB'!O10:O14)</f>
        <v>2681.2400000000002</v>
      </c>
      <c r="P9" s="436">
        <f>SUM('DRETS RECONEGUTS CAIB'!P10:P14)</f>
        <v>2679.0499999999997</v>
      </c>
      <c r="Q9" s="436">
        <f>SUM('DRETS RECONEGUTS CAIB'!Q10:Q14)</f>
        <v>2958.29</v>
      </c>
      <c r="R9" s="436">
        <f>SUM('DRETS RECONEGUTS CAIB'!R10:R14)</f>
        <v>3243.13</v>
      </c>
      <c r="S9" s="436">
        <f>SUM('DRETS RECONEGUTS CAIB'!S10:S14)</f>
        <v>3594.75</v>
      </c>
      <c r="T9" s="436">
        <f>SUM('DRETS RECONEGUTS CAIB'!T10:T14)</f>
        <v>3892.0699999999997</v>
      </c>
      <c r="U9" s="436">
        <f>SUM('DRETS RECONEGUTS CAIB'!U10:U14)</f>
        <v>3934.2300000000009</v>
      </c>
      <c r="V9" s="436">
        <f>SUM('DRETS RECONEGUTS CAIB'!V10:V14)</f>
        <v>4470.12</v>
      </c>
      <c r="W9" s="436">
        <f>SUM('DRETS RECONEGUTS CAIB'!W10:W14)</f>
        <v>5679.49</v>
      </c>
    </row>
    <row r="10" spans="1:23" ht="25" customHeight="1">
      <c r="A10" s="95" t="s">
        <v>139</v>
      </c>
      <c r="B10" s="139">
        <f>SUM('DRETS RECONEGUTS CAIB'!B15:B16)</f>
        <v>53.14</v>
      </c>
      <c r="C10" s="139">
        <f>SUM('DRETS RECONEGUTS CAIB'!C15:C16)</f>
        <v>61.42</v>
      </c>
      <c r="D10" s="139">
        <f>SUM('DRETS RECONEGUTS CAIB'!D15:D16)</f>
        <v>61.81</v>
      </c>
      <c r="E10" s="139">
        <f>SUM('DRETS RECONEGUTS CAIB'!E15:E16)</f>
        <v>50.236823060000006</v>
      </c>
      <c r="F10" s="139">
        <f>SUM('DRETS RECONEGUTS CAIB'!F15:F16)</f>
        <v>61.96</v>
      </c>
      <c r="G10" s="139">
        <f>SUM('DRETS RECONEGUTS CAIB'!G15:G16)</f>
        <v>64.81</v>
      </c>
      <c r="H10" s="139">
        <f>SUM('DRETS RECONEGUTS CAIB'!H15:H16)</f>
        <v>63.71</v>
      </c>
      <c r="I10" s="139">
        <f>SUM('DRETS RECONEGUTS CAIB'!I15:I16)</f>
        <v>46.56</v>
      </c>
      <c r="J10" s="139">
        <f>SUM('DRETS RECONEGUTS CAIB'!J15:J16)</f>
        <v>42.370000000000005</v>
      </c>
      <c r="K10" s="139">
        <f>SUM('DRETS RECONEGUTS CAIB'!K15:K16)</f>
        <v>59.98</v>
      </c>
      <c r="L10" s="139">
        <f>SUM('DRETS RECONEGUTS CAIB'!L15:L16)</f>
        <v>167.20999999999998</v>
      </c>
      <c r="M10" s="139">
        <f>SUM('DRETS RECONEGUTS CAIB'!M15:M16)</f>
        <v>145.16</v>
      </c>
      <c r="N10" s="139">
        <f>SUM('DRETS RECONEGUTS CAIB'!N15:N16)</f>
        <v>43.848139369999991</v>
      </c>
      <c r="O10" s="139">
        <f>SUM('DRETS RECONEGUTS CAIB'!O15:O16)</f>
        <v>38.81</v>
      </c>
      <c r="P10" s="139">
        <f>SUM('DRETS RECONEGUTS CAIB'!P15:P16)</f>
        <v>100.94</v>
      </c>
      <c r="Q10" s="139">
        <f>SUM('DRETS RECONEGUTS CAIB'!Q15:Q16)</f>
        <v>18.209999999999997</v>
      </c>
      <c r="R10" s="139">
        <f>SUM('DRETS RECONEGUTS CAIB'!R15:R16)</f>
        <v>14.03</v>
      </c>
      <c r="S10" s="139">
        <f>SUM('DRETS RECONEGUTS CAIB'!S15:S16)</f>
        <v>21.08</v>
      </c>
      <c r="T10" s="139">
        <f>SUM('DRETS RECONEGUTS CAIB'!T15:T16)</f>
        <v>-2.52</v>
      </c>
      <c r="U10" s="139">
        <f>SUM('DRETS RECONEGUTS CAIB'!U15:U16)</f>
        <v>64.27</v>
      </c>
      <c r="V10" s="139">
        <f>SUM('DRETS RECONEGUTS CAIB'!V15:V16)</f>
        <v>53.61</v>
      </c>
      <c r="W10" s="139">
        <f>SUM('DRETS RECONEGUTS CAIB'!W15:W16)</f>
        <v>225.95999999999998</v>
      </c>
    </row>
    <row r="11" spans="1:23" ht="25" customHeight="1">
      <c r="A11" s="95" t="s">
        <v>140</v>
      </c>
      <c r="B11" s="146">
        <f>SUM('DRETS RECONEGUTS CAIB'!B17:B18)</f>
        <v>50.67284471049247</v>
      </c>
      <c r="C11" s="146">
        <f>SUM('DRETS RECONEGUTS CAIB'!C17:C18)</f>
        <v>18.294201194812064</v>
      </c>
      <c r="D11" s="146">
        <f>SUM('DRETS RECONEGUTS CAIB'!D17:D18)</f>
        <v>143.21901241691006</v>
      </c>
      <c r="E11" s="146">
        <f>SUM('DRETS RECONEGUTS CAIB'!E17:E18)</f>
        <v>159.73729373</v>
      </c>
      <c r="F11" s="146">
        <f>SUM('DRETS RECONEGUTS CAIB'!F17:F18)</f>
        <v>6.25</v>
      </c>
      <c r="G11" s="146">
        <f>SUM('DRETS RECONEGUTS CAIB'!G17:G18)</f>
        <v>10.28</v>
      </c>
      <c r="H11" s="146">
        <f>SUM('DRETS RECONEGUTS CAIB'!H17:H18)</f>
        <v>362.29999999999995</v>
      </c>
      <c r="I11" s="146">
        <f>SUM('DRETS RECONEGUTS CAIB'!I17:I18)</f>
        <v>146.07999999999998</v>
      </c>
      <c r="J11" s="146">
        <f>SUM('DRETS RECONEGUTS CAIB'!J17:J18)</f>
        <v>98.72</v>
      </c>
      <c r="K11" s="146">
        <f>SUM('DRETS RECONEGUTS CAIB'!K17:K18)</f>
        <v>574.57999999999993</v>
      </c>
      <c r="L11" s="392">
        <f>SUM('DRETS RECONEGUTS CAIB'!L17:L18)</f>
        <v>1160.08</v>
      </c>
      <c r="M11" s="392">
        <f>SUM('DRETS RECONEGUTS CAIB'!M17:M18)</f>
        <v>555.35</v>
      </c>
      <c r="N11" s="392">
        <f>SUM('DRETS RECONEGUTS CAIB'!N17:N18)</f>
        <v>1668.7841842400001</v>
      </c>
      <c r="O11" s="392">
        <f>SUM('DRETS RECONEGUTS CAIB'!O17:O18)</f>
        <v>1268.17</v>
      </c>
      <c r="P11" s="392">
        <f>SUM('DRETS RECONEGUTS CAIB'!P17:P18)</f>
        <v>1610.45</v>
      </c>
      <c r="Q11" s="392">
        <f>SUM('DRETS RECONEGUTS CAIB'!Q17:Q18)</f>
        <v>1175.99</v>
      </c>
      <c r="R11" s="392">
        <f>SUM('DRETS RECONEGUTS CAIB'!R17:R18)</f>
        <v>1282.25</v>
      </c>
      <c r="S11" s="392">
        <f>SUM('DRETS RECONEGUTS CAIB'!S17:S18)</f>
        <v>1346.73</v>
      </c>
      <c r="T11" s="392">
        <f>SUM('DRETS RECONEGUTS CAIB'!T17:T18)</f>
        <v>927.07</v>
      </c>
      <c r="U11" s="392">
        <f>SUM('DRETS RECONEGUTS CAIB'!U17:U18)</f>
        <v>1220.71</v>
      </c>
      <c r="V11" s="392">
        <f>SUM('DRETS RECONEGUTS CAIB'!V17:V18)</f>
        <v>1785.79</v>
      </c>
      <c r="W11" s="392">
        <f>SUM('DRETS RECONEGUTS CAIB'!W17:W18)</f>
        <v>1163.6000000000001</v>
      </c>
    </row>
    <row r="12" spans="1:23" ht="9" customHeight="1" thickBot="1">
      <c r="A12" s="81"/>
      <c r="B12" s="148"/>
      <c r="C12" s="148"/>
      <c r="D12" s="148"/>
      <c r="E12" s="148"/>
      <c r="F12" s="149"/>
      <c r="G12" s="147"/>
      <c r="H12" s="147"/>
      <c r="I12" s="165"/>
      <c r="J12" s="165"/>
    </row>
    <row r="13" spans="1:23" ht="25" customHeight="1" thickTop="1" thickBot="1">
      <c r="A13" s="218" t="s">
        <v>4</v>
      </c>
      <c r="B13" s="210">
        <f t="shared" ref="B13:M13" si="0">SUM(B9:B11)</f>
        <v>900.11284471049237</v>
      </c>
      <c r="C13" s="210">
        <f t="shared" si="0"/>
        <v>953.44420119481208</v>
      </c>
      <c r="D13" s="210">
        <f t="shared" si="0"/>
        <v>1064.5990124169102</v>
      </c>
      <c r="E13" s="210">
        <f t="shared" si="0"/>
        <v>2017.91411679</v>
      </c>
      <c r="F13" s="210">
        <f t="shared" si="0"/>
        <v>2112.8199999999997</v>
      </c>
      <c r="G13" s="210">
        <f t="shared" si="0"/>
        <v>2753.9700000000003</v>
      </c>
      <c r="H13" s="210">
        <f t="shared" si="0"/>
        <v>2915.83</v>
      </c>
      <c r="I13" s="210">
        <f t="shared" si="0"/>
        <v>3057.59</v>
      </c>
      <c r="J13" s="210">
        <f t="shared" si="0"/>
        <v>3110.9499999999994</v>
      </c>
      <c r="K13" s="210">
        <f t="shared" si="0"/>
        <v>3450.79</v>
      </c>
      <c r="L13" s="210">
        <f t="shared" si="0"/>
        <v>4300.33</v>
      </c>
      <c r="M13" s="210">
        <f t="shared" si="0"/>
        <v>3384.6699999999996</v>
      </c>
      <c r="N13" s="210">
        <f>SUM(N9:N11)</f>
        <v>5618.88318084</v>
      </c>
      <c r="O13" s="210">
        <f>SUM(O9:O11)</f>
        <v>3988.2200000000003</v>
      </c>
      <c r="P13" s="210">
        <f>SUM(P9:P11)</f>
        <v>4390.4399999999996</v>
      </c>
      <c r="Q13" s="210">
        <f t="shared" ref="Q13:V13" si="1">SUM(Q9:Q12)</f>
        <v>4152.49</v>
      </c>
      <c r="R13" s="210">
        <f t="shared" si="1"/>
        <v>4539.41</v>
      </c>
      <c r="S13" s="210">
        <f t="shared" si="1"/>
        <v>4962.5599999999995</v>
      </c>
      <c r="T13" s="210">
        <f t="shared" si="1"/>
        <v>4816.62</v>
      </c>
      <c r="U13" s="210">
        <f t="shared" si="1"/>
        <v>5219.2100000000009</v>
      </c>
      <c r="V13" s="210">
        <f t="shared" si="1"/>
        <v>6309.5199999999995</v>
      </c>
      <c r="W13" s="210">
        <f t="shared" ref="W13" si="2">SUM(W9:W12)</f>
        <v>7069.05</v>
      </c>
    </row>
    <row r="14" spans="1:23" ht="25" customHeight="1" thickTop="1">
      <c r="A14" s="15"/>
      <c r="B14" s="36"/>
      <c r="C14" s="36"/>
      <c r="D14" s="36"/>
      <c r="E14" s="36"/>
      <c r="F14" s="36"/>
      <c r="G14" s="36"/>
      <c r="H14" s="36"/>
      <c r="I14" s="36"/>
    </row>
    <row r="15" spans="1:23" ht="25" customHeight="1">
      <c r="A15" s="37"/>
      <c r="B15" s="36"/>
      <c r="C15" s="36"/>
      <c r="D15" s="36"/>
      <c r="E15" s="36"/>
      <c r="F15" s="36"/>
      <c r="G15" s="36"/>
      <c r="H15" s="36"/>
      <c r="I15" s="36"/>
    </row>
    <row r="16" spans="1:23" ht="25" customHeight="1">
      <c r="A16" s="37"/>
      <c r="B16" s="36"/>
      <c r="C16" s="36"/>
      <c r="D16" s="36"/>
      <c r="E16" s="36"/>
      <c r="F16" s="36"/>
      <c r="G16" s="36"/>
      <c r="H16" s="36"/>
      <c r="I16" s="36"/>
    </row>
    <row r="17" spans="1:21" ht="25" customHeight="1">
      <c r="A17"/>
      <c r="B17"/>
      <c r="C17"/>
      <c r="D17"/>
      <c r="F17"/>
      <c r="G17"/>
      <c r="H17"/>
      <c r="I17"/>
    </row>
    <row r="18" spans="1:21" ht="25" customHeight="1">
      <c r="A18"/>
      <c r="B18"/>
      <c r="C18"/>
      <c r="D18"/>
      <c r="F18"/>
      <c r="G18"/>
      <c r="H18"/>
      <c r="I18"/>
    </row>
    <row r="19" spans="1:21" ht="25" customHeight="1">
      <c r="A19"/>
      <c r="B19"/>
      <c r="C19"/>
      <c r="D19"/>
      <c r="F19"/>
      <c r="G19"/>
      <c r="H19"/>
      <c r="I19"/>
    </row>
    <row r="20" spans="1:21" ht="25" customHeight="1">
      <c r="A20"/>
      <c r="B20"/>
      <c r="C20"/>
      <c r="D20"/>
      <c r="F20"/>
      <c r="G20"/>
      <c r="H20"/>
      <c r="I20"/>
    </row>
    <row r="21" spans="1:21" ht="25" customHeight="1">
      <c r="A21"/>
      <c r="B21"/>
      <c r="C21"/>
      <c r="D21"/>
      <c r="F21"/>
      <c r="G21"/>
      <c r="H21"/>
      <c r="I21"/>
    </row>
    <row r="22" spans="1:21" ht="25" customHeight="1">
      <c r="A22"/>
      <c r="B22"/>
      <c r="C22"/>
      <c r="D22"/>
      <c r="F22"/>
      <c r="G22"/>
      <c r="H22"/>
      <c r="I22"/>
    </row>
    <row r="23" spans="1:21" ht="25" customHeight="1">
      <c r="A23"/>
      <c r="B23"/>
      <c r="C23"/>
      <c r="D23"/>
      <c r="F23"/>
      <c r="G23"/>
      <c r="H23"/>
      <c r="I23"/>
    </row>
    <row r="24" spans="1:21" ht="12.9">
      <c r="A24"/>
      <c r="B24">
        <v>2013</v>
      </c>
      <c r="C24"/>
      <c r="D24">
        <v>3775.53</v>
      </c>
      <c r="E24">
        <v>3988.22</v>
      </c>
      <c r="F24">
        <f>E24/D24*100</f>
        <v>105.63338127362249</v>
      </c>
      <c r="G24"/>
      <c r="H24"/>
      <c r="I24"/>
    </row>
    <row r="25" spans="1:21" ht="18" customHeight="1">
      <c r="A25"/>
      <c r="B25"/>
      <c r="C25"/>
      <c r="D25"/>
      <c r="F25"/>
      <c r="G25"/>
      <c r="H25"/>
      <c r="I25"/>
    </row>
    <row r="26" spans="1:21" ht="18" customHeight="1">
      <c r="A26" s="67"/>
      <c r="B26" s="67"/>
      <c r="C26" s="67"/>
      <c r="D26" s="67"/>
      <c r="E26" s="67"/>
      <c r="F26" s="67"/>
      <c r="G26" s="67"/>
      <c r="H26" s="67"/>
      <c r="I26" s="67"/>
      <c r="J26" s="67"/>
      <c r="K26" s="67"/>
      <c r="L26" s="67"/>
      <c r="M26" s="67"/>
      <c r="N26" s="67"/>
      <c r="O26" s="67"/>
      <c r="P26" s="67"/>
      <c r="Q26" s="67"/>
      <c r="R26" s="67"/>
      <c r="S26" s="67"/>
      <c r="T26" s="67"/>
      <c r="U26" s="67"/>
    </row>
    <row r="27" spans="1:21" ht="18" customHeight="1">
      <c r="A27" s="67"/>
      <c r="B27" s="67"/>
      <c r="C27" s="67"/>
      <c r="D27" s="67"/>
      <c r="E27" s="67"/>
      <c r="F27" s="67"/>
      <c r="G27" s="67"/>
      <c r="H27" s="67"/>
      <c r="I27" s="67"/>
      <c r="J27" s="67"/>
      <c r="K27" s="67"/>
      <c r="L27" s="67"/>
      <c r="M27" s="67"/>
      <c r="N27" s="67"/>
      <c r="O27" s="67"/>
      <c r="P27" s="67"/>
      <c r="Q27" s="67"/>
      <c r="R27" s="67"/>
      <c r="S27" s="67"/>
      <c r="T27" s="67"/>
      <c r="U27" s="67"/>
    </row>
    <row r="28" spans="1:21" ht="18" customHeight="1">
      <c r="A28" s="67"/>
      <c r="B28" s="67"/>
      <c r="C28" s="67"/>
      <c r="D28" s="67"/>
      <c r="E28" s="67"/>
      <c r="F28" s="67"/>
      <c r="G28" s="67"/>
      <c r="H28" s="67"/>
      <c r="I28" s="67"/>
      <c r="J28" s="67"/>
      <c r="K28" s="67"/>
      <c r="L28" s="67"/>
      <c r="M28" s="67"/>
      <c r="N28" s="67"/>
      <c r="O28" s="67"/>
      <c r="P28" s="67"/>
      <c r="Q28" s="67"/>
      <c r="R28" s="67"/>
      <c r="S28" s="67"/>
      <c r="T28" s="67"/>
      <c r="U28" s="67"/>
    </row>
    <row r="29" spans="1:21" ht="12.75" customHeight="1">
      <c r="A29" s="491" t="s">
        <v>197</v>
      </c>
      <c r="B29" s="491"/>
      <c r="C29" s="491"/>
      <c r="D29" s="491"/>
      <c r="E29" s="491"/>
      <c r="F29" s="491"/>
      <c r="G29" s="491"/>
      <c r="H29" s="491"/>
      <c r="I29" s="491"/>
      <c r="J29" s="491"/>
      <c r="K29" s="491"/>
      <c r="L29" s="491"/>
      <c r="M29" s="491"/>
      <c r="N29" s="491"/>
      <c r="O29" s="491"/>
      <c r="P29" s="491"/>
      <c r="Q29" s="491"/>
      <c r="R29" s="502"/>
      <c r="S29" s="508"/>
      <c r="T29" s="518"/>
      <c r="U29" s="491"/>
    </row>
    <row r="30" spans="1:21" ht="12.75" customHeight="1">
      <c r="A30" s="518" t="s">
        <v>221</v>
      </c>
      <c r="B30" s="518"/>
      <c r="C30" s="518"/>
      <c r="D30" s="518"/>
      <c r="E30" s="518"/>
      <c r="F30" s="518"/>
      <c r="G30" s="518"/>
      <c r="H30" s="518"/>
      <c r="I30" s="518"/>
      <c r="J30" s="518"/>
      <c r="K30" s="518"/>
      <c r="L30" s="518"/>
      <c r="M30" s="518"/>
      <c r="N30" s="518"/>
      <c r="O30" s="518"/>
      <c r="P30" s="518"/>
      <c r="Q30" s="518"/>
      <c r="R30" s="518"/>
      <c r="S30" s="518"/>
      <c r="T30" s="518"/>
      <c r="U30" s="518"/>
    </row>
    <row r="31" spans="1:21" ht="12.75" customHeight="1">
      <c r="A31" s="41" t="s">
        <v>222</v>
      </c>
      <c r="B31" s="491"/>
      <c r="C31" s="491"/>
      <c r="D31" s="491"/>
      <c r="E31" s="491"/>
      <c r="F31" s="491"/>
      <c r="G31" s="491"/>
      <c r="H31" s="491"/>
      <c r="I31" s="491"/>
      <c r="J31" s="491"/>
      <c r="K31" s="491"/>
      <c r="L31" s="491"/>
      <c r="M31" s="491"/>
      <c r="N31" s="491"/>
      <c r="O31" s="491"/>
      <c r="P31" s="491"/>
      <c r="Q31" s="491"/>
      <c r="R31" s="502"/>
      <c r="S31" s="508"/>
      <c r="T31" s="518"/>
      <c r="U31" s="491"/>
    </row>
    <row r="32" spans="1:21" ht="19.55" customHeight="1">
      <c r="A32" s="491"/>
      <c r="B32" s="491"/>
      <c r="C32" s="491"/>
      <c r="D32" s="491"/>
      <c r="E32" s="491"/>
      <c r="F32" s="491"/>
      <c r="G32" s="491"/>
      <c r="H32" s="491"/>
      <c r="I32" s="491"/>
      <c r="J32" s="491"/>
      <c r="K32" s="491"/>
      <c r="L32" s="491"/>
      <c r="M32" s="491"/>
      <c r="N32" s="491"/>
      <c r="O32" s="428"/>
      <c r="P32" s="491"/>
      <c r="Q32" s="491"/>
      <c r="R32" s="502"/>
      <c r="S32" s="508"/>
      <c r="T32" s="518"/>
      <c r="U32" s="491"/>
    </row>
    <row r="33" customFormat="1" ht="12.9"/>
    <row r="34" customFormat="1" ht="12.9"/>
    <row r="35" customFormat="1" ht="12.9"/>
    <row r="36" customFormat="1" ht="12.9"/>
    <row r="37" customFormat="1" ht="12.9"/>
    <row r="38" customFormat="1" ht="12.9"/>
    <row r="39" customFormat="1" ht="12.9"/>
    <row r="40" customFormat="1" ht="12.9"/>
    <row r="41" customFormat="1" ht="12.9"/>
    <row r="42" customFormat="1" ht="12.9"/>
    <row r="43" customFormat="1" ht="12.9"/>
    <row r="44" customFormat="1" ht="12.9"/>
    <row r="45" customFormat="1" ht="12.9"/>
    <row r="46" customFormat="1" ht="12.9"/>
    <row r="47" customFormat="1" ht="12.9"/>
    <row r="48" customFormat="1" ht="12.9"/>
    <row r="49" spans="1:9" ht="12.9">
      <c r="A49"/>
      <c r="B49"/>
      <c r="C49"/>
      <c r="D49"/>
      <c r="F49"/>
      <c r="G49"/>
      <c r="H49"/>
      <c r="I49"/>
    </row>
    <row r="50" spans="1:9" ht="12.9">
      <c r="A50"/>
      <c r="B50"/>
      <c r="C50"/>
      <c r="D50"/>
      <c r="F50"/>
      <c r="G50"/>
      <c r="H50"/>
      <c r="I50"/>
    </row>
    <row r="51" spans="1:9" ht="12.9">
      <c r="A51"/>
      <c r="B51"/>
      <c r="C51"/>
      <c r="D51"/>
      <c r="F51"/>
      <c r="G51"/>
      <c r="H51"/>
      <c r="I51"/>
    </row>
    <row r="52" spans="1:9" ht="12.9">
      <c r="A52"/>
      <c r="B52"/>
      <c r="C52"/>
      <c r="D52"/>
      <c r="F52"/>
      <c r="G52"/>
      <c r="H52"/>
      <c r="I52"/>
    </row>
    <row r="53" spans="1:9" ht="12.9">
      <c r="A53"/>
      <c r="B53"/>
      <c r="C53"/>
      <c r="D53"/>
      <c r="F53"/>
      <c r="G53"/>
      <c r="H53"/>
      <c r="I53"/>
    </row>
    <row r="54" spans="1:9">
      <c r="G54" s="39"/>
      <c r="H54" s="39"/>
      <c r="I54" s="39"/>
    </row>
    <row r="55" spans="1:9">
      <c r="G55" s="39"/>
      <c r="H55" s="39"/>
      <c r="I55" s="39"/>
    </row>
    <row r="56" spans="1:9">
      <c r="G56" s="39"/>
      <c r="H56" s="39"/>
      <c r="I56" s="39"/>
    </row>
    <row r="57" spans="1:9">
      <c r="G57" s="39"/>
      <c r="H57" s="39"/>
      <c r="I57" s="39"/>
    </row>
    <row r="58" spans="1:9">
      <c r="G58" s="39"/>
      <c r="H58" s="39"/>
      <c r="I58" s="39"/>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00B050"/>
  </sheetPr>
  <dimension ref="A1:W30"/>
  <sheetViews>
    <sheetView showGridLines="0" topLeftCell="A10" zoomScaleNormal="100" zoomScaleSheetLayoutView="85" workbookViewId="0">
      <selection activeCell="V11" sqref="V11"/>
    </sheetView>
  </sheetViews>
  <sheetFormatPr baseColWidth="10" defaultColWidth="9.125" defaultRowHeight="15.65"/>
  <cols>
    <col min="1" max="1" width="26.75" style="7" customWidth="1"/>
    <col min="2" max="4" width="11.375" style="7" hidden="1" customWidth="1"/>
    <col min="5" max="5" width="12.125" style="7" hidden="1" customWidth="1"/>
    <col min="6" max="9" width="12.125" style="4" hidden="1" customWidth="1"/>
    <col min="10" max="13" width="12.125" hidden="1" customWidth="1"/>
    <col min="14" max="23" width="13.75" customWidth="1"/>
  </cols>
  <sheetData>
    <row r="1" spans="1:23" ht="18" customHeight="1">
      <c r="A1" s="47"/>
      <c r="B1" s="3"/>
      <c r="C1" s="3"/>
      <c r="D1" s="3"/>
      <c r="E1" s="3"/>
    </row>
    <row r="2" spans="1:23" ht="18" customHeight="1">
      <c r="A2" s="47"/>
      <c r="B2" s="3"/>
      <c r="C2" s="3"/>
      <c r="D2" s="3"/>
      <c r="E2" s="3"/>
    </row>
    <row r="3" spans="1:23" ht="18" customHeight="1">
      <c r="A3" s="48"/>
    </row>
    <row r="4" spans="1:23" s="42" customFormat="1" ht="20.25" customHeight="1">
      <c r="A4" s="594" t="s">
        <v>233</v>
      </c>
      <c r="B4" s="594"/>
      <c r="C4" s="594"/>
      <c r="D4" s="594"/>
      <c r="E4" s="594"/>
      <c r="F4" s="594"/>
      <c r="G4" s="594"/>
      <c r="H4" s="594"/>
      <c r="I4" s="594"/>
      <c r="J4" s="594"/>
      <c r="K4" s="594"/>
      <c r="L4" s="594"/>
      <c r="M4" s="594"/>
      <c r="N4" s="594"/>
      <c r="O4" s="594"/>
      <c r="P4" s="594"/>
      <c r="Q4" s="594"/>
      <c r="R4" s="594"/>
      <c r="S4" s="594"/>
      <c r="T4" s="594"/>
      <c r="U4" s="594"/>
      <c r="V4" s="594"/>
      <c r="W4" s="594"/>
    </row>
    <row r="5" spans="1:23" s="42" customFormat="1" ht="18" customHeight="1"/>
    <row r="6" spans="1:23" s="42" customFormat="1" ht="18" customHeight="1"/>
    <row r="7" spans="1:23" ht="18.7" customHeight="1">
      <c r="B7" s="151">
        <v>1999</v>
      </c>
      <c r="C7" s="151">
        <v>2000</v>
      </c>
      <c r="D7" s="151">
        <v>2001</v>
      </c>
      <c r="E7" s="152">
        <v>2002</v>
      </c>
      <c r="F7" s="79">
        <v>2003</v>
      </c>
      <c r="G7" s="80">
        <v>2004</v>
      </c>
      <c r="H7" s="80">
        <v>2005</v>
      </c>
      <c r="I7" s="165">
        <v>2006</v>
      </c>
      <c r="J7" s="165">
        <v>2007</v>
      </c>
      <c r="K7" s="165">
        <v>2008</v>
      </c>
      <c r="L7" s="165">
        <v>2009</v>
      </c>
      <c r="M7" s="165">
        <v>2010</v>
      </c>
      <c r="N7" s="165">
        <v>2012</v>
      </c>
      <c r="O7" s="165">
        <v>2013</v>
      </c>
      <c r="P7" s="165">
        <v>2014</v>
      </c>
      <c r="Q7" s="165">
        <v>2015</v>
      </c>
      <c r="R7" s="165">
        <v>2016</v>
      </c>
      <c r="S7" s="165">
        <v>2017</v>
      </c>
      <c r="T7" s="165">
        <v>2018</v>
      </c>
      <c r="U7" s="165">
        <v>2019</v>
      </c>
      <c r="V7" s="165">
        <v>2020</v>
      </c>
      <c r="W7" s="165">
        <v>2021</v>
      </c>
    </row>
    <row r="8" spans="1:23" ht="13.6" customHeight="1" thickBot="1">
      <c r="A8" s="490" t="s">
        <v>199</v>
      </c>
      <c r="B8" s="154"/>
      <c r="C8" s="154"/>
      <c r="D8" s="154"/>
      <c r="E8" s="155"/>
      <c r="F8" s="94"/>
      <c r="G8" s="94"/>
      <c r="H8" s="94"/>
      <c r="I8" s="248"/>
      <c r="J8" s="248"/>
      <c r="K8" s="248"/>
      <c r="L8" s="157"/>
      <c r="M8" s="157"/>
    </row>
    <row r="9" spans="1:23" ht="24.8" customHeight="1" thickTop="1">
      <c r="A9" s="556" t="s">
        <v>136</v>
      </c>
      <c r="B9" s="153">
        <f>SUM('OBLIGAGIONS RECON. CAIB '!B10:B13)</f>
        <v>546.66</v>
      </c>
      <c r="C9" s="153">
        <f>SUM('OBLIGAGIONS RECON. CAIB '!C10:C13)</f>
        <v>634.17000000000007</v>
      </c>
      <c r="D9" s="153">
        <f>SUM('OBLIGAGIONS RECON. CAIB '!D10:D13)</f>
        <v>698.8</v>
      </c>
      <c r="E9" s="153">
        <f>SUM('OBLIGAGIONS RECON. CAIB '!E10:E13)</f>
        <v>1530.6299999999999</v>
      </c>
      <c r="F9" s="153">
        <f>SUM('OBLIGAGIONS RECON. CAIB '!F10:F13)</f>
        <v>1694.0099999999998</v>
      </c>
      <c r="G9" s="153">
        <f>SUM('OBLIGAGIONS RECON. CAIB '!G10:G13)</f>
        <v>1773.9900000000002</v>
      </c>
      <c r="H9" s="153">
        <f>SUM('OBLIGAGIONS RECON. CAIB '!H10:H13)</f>
        <v>2361.6999999999998</v>
      </c>
      <c r="I9" s="153">
        <f>SUM('OBLIGAGIONS RECON. CAIB '!I10:I13)</f>
        <v>2379.77</v>
      </c>
      <c r="J9" s="153">
        <f>SUM('OBLIGAGIONS RECON. CAIB '!J10:J13)</f>
        <v>2666.88</v>
      </c>
      <c r="K9" s="153">
        <f>SUM('OBLIGAGIONS RECON. CAIB '!K10:K13)</f>
        <v>2909.6800000000003</v>
      </c>
      <c r="L9" s="153">
        <f>SUM('OBLIGAGIONS RECON. CAIB '!L10:L13)</f>
        <v>3100.3199999999997</v>
      </c>
      <c r="M9" s="153">
        <f>SUM('OBLIGAGIONS RECON. CAIB '!M10:M13)</f>
        <v>3113.7300000000005</v>
      </c>
      <c r="N9" s="437">
        <f>SUM('OBLIGAGIONS RECON. CAIB '!N10:N13)</f>
        <v>4586.9573306900002</v>
      </c>
      <c r="O9" s="437">
        <f>SUM('OBLIGAGIONS RECON. CAIB '!O10:O13)</f>
        <v>2672.5099999999998</v>
      </c>
      <c r="P9" s="437">
        <f>SUM('OBLIGAGIONS RECON. CAIB '!P10:P13)</f>
        <v>2775.96</v>
      </c>
      <c r="Q9" s="437">
        <f>SUM('OBLIGAGIONS RECON. CAIB '!Q10:Q13)</f>
        <v>2910.01</v>
      </c>
      <c r="R9" s="437">
        <f>SUM('OBLIGAGIONS RECON. CAIB '!R10:R13)</f>
        <v>3013.38</v>
      </c>
      <c r="S9" s="437">
        <f>SUM('OBLIGAGIONS RECON. CAIB '!S10:S13)</f>
        <v>3295.81</v>
      </c>
      <c r="T9" s="437">
        <f>SUM('OBLIGAGIONS RECON. CAIB '!T10:T13)</f>
        <v>3456.3300000000004</v>
      </c>
      <c r="U9" s="437">
        <f>SUM('OBLIGAGIONS RECON. CAIB '!U10:U13)</f>
        <v>3785.7700000000004</v>
      </c>
      <c r="V9" s="437">
        <f>SUM('OBLIGAGIONS RECON. CAIB '!V10:V13)</f>
        <v>4064.89</v>
      </c>
      <c r="W9" s="437">
        <f>SUM('OBLIGAGIONS RECON. CAIB '!W10:W13)</f>
        <v>4925.46</v>
      </c>
    </row>
    <row r="10" spans="1:23" ht="24.8" customHeight="1">
      <c r="A10" s="150" t="s">
        <v>137</v>
      </c>
      <c r="B10" s="153">
        <f>SUM('OBLIGAGIONS RECON. CAIB '!B14:B15)</f>
        <v>280.33</v>
      </c>
      <c r="C10" s="153">
        <f>SUM('OBLIGAGIONS RECON. CAIB '!C14:C15)</f>
        <v>292.40999999999997</v>
      </c>
      <c r="D10" s="153">
        <f>SUM('OBLIGAGIONS RECON. CAIB '!D14:D15)</f>
        <v>300.23</v>
      </c>
      <c r="E10" s="153">
        <f>SUM('OBLIGAGIONS RECON. CAIB '!E14:E15)</f>
        <v>448.74</v>
      </c>
      <c r="F10" s="153">
        <f>SUM('OBLIGAGIONS RECON. CAIB '!F14:F15)</f>
        <v>429.52</v>
      </c>
      <c r="G10" s="153">
        <f>SUM('OBLIGAGIONS RECON. CAIB '!G14:G15)</f>
        <v>529.67999999999995</v>
      </c>
      <c r="H10" s="153">
        <f>SUM('OBLIGAGIONS RECON. CAIB '!H14:H15)</f>
        <v>581.44000000000005</v>
      </c>
      <c r="I10" s="153">
        <f>SUM('OBLIGAGIONS RECON. CAIB '!I14:I15)</f>
        <v>534.75</v>
      </c>
      <c r="J10" s="153">
        <f>SUM('OBLIGAGIONS RECON. CAIB '!J14:J15)</f>
        <v>597.68999999999994</v>
      </c>
      <c r="K10" s="153">
        <f>SUM('OBLIGAGIONS RECON. CAIB '!K14:K15)</f>
        <v>682.68000000000006</v>
      </c>
      <c r="L10" s="153">
        <f>SUM('OBLIGAGIONS RECON. CAIB '!L14:L15)</f>
        <v>780.69</v>
      </c>
      <c r="M10" s="153">
        <f>SUM('OBLIGAGIONS RECON. CAIB '!M14:M15)</f>
        <v>682.09</v>
      </c>
      <c r="N10" s="153">
        <f>SUM('OBLIGAGIONS RECON. CAIB '!N14:N15)</f>
        <v>390.84398783999995</v>
      </c>
      <c r="O10" s="153">
        <f>SUM('OBLIGAGIONS RECON. CAIB '!O14:O15)</f>
        <v>421.96000000000004</v>
      </c>
      <c r="P10" s="153">
        <f>SUM('OBLIGAGIONS RECON. CAIB '!P14:P15)</f>
        <v>406.86</v>
      </c>
      <c r="Q10" s="153">
        <f>SUM('OBLIGAGIONS RECON. CAIB '!Q14:Q15)</f>
        <v>440.56</v>
      </c>
      <c r="R10" s="153">
        <f>SUM('OBLIGAGIONS RECON. CAIB '!R14:R15)</f>
        <v>450.40000000000003</v>
      </c>
      <c r="S10" s="153">
        <f>SUM('OBLIGAGIONS RECON. CAIB '!S14:S15)</f>
        <v>581.54999999999995</v>
      </c>
      <c r="T10" s="153">
        <f>SUM('OBLIGAGIONS RECON. CAIB '!T14:T15)</f>
        <v>663.7</v>
      </c>
      <c r="U10" s="153">
        <f>SUM('OBLIGAGIONS RECON. CAIB '!U14:U15)</f>
        <v>624.82000000000005</v>
      </c>
      <c r="V10" s="153">
        <f>SUM('OBLIGAGIONS RECON. CAIB '!V14:V15)</f>
        <v>574.07000000000005</v>
      </c>
      <c r="W10" s="153">
        <f>SUM('OBLIGAGIONS RECON. CAIB '!W14:W15)</f>
        <v>584.99</v>
      </c>
    </row>
    <row r="11" spans="1:23" ht="24.8" customHeight="1">
      <c r="A11" s="150" t="s">
        <v>138</v>
      </c>
      <c r="B11" s="153">
        <f>SUM('OBLIGAGIONS RECON. CAIB '!B16:B17)</f>
        <v>53.910000000000004</v>
      </c>
      <c r="C11" s="153">
        <f>SUM('OBLIGAGIONS RECON. CAIB '!C16:C17)</f>
        <v>15.8</v>
      </c>
      <c r="D11" s="153">
        <f>SUM('OBLIGAGIONS RECON. CAIB '!D16:D17)</f>
        <v>14.27</v>
      </c>
      <c r="E11" s="153">
        <f>SUM('OBLIGAGIONS RECON. CAIB '!E16:E17)</f>
        <v>12.93</v>
      </c>
      <c r="F11" s="153">
        <f>SUM('OBLIGAGIONS RECON. CAIB '!F16:F17)</f>
        <v>11.56</v>
      </c>
      <c r="G11" s="153">
        <f>SUM('OBLIGAGIONS RECON. CAIB '!G16:G17)</f>
        <v>11.24</v>
      </c>
      <c r="H11" s="153">
        <f>SUM('OBLIGAGIONS RECON. CAIB '!H16:H17)</f>
        <v>45.49</v>
      </c>
      <c r="I11" s="153">
        <f>SUM('OBLIGAGIONS RECON. CAIB '!I16:I17)</f>
        <v>42.74</v>
      </c>
      <c r="J11" s="153">
        <f>SUM('OBLIGAGIONS RECON. CAIB '!J16:J17)</f>
        <v>42.45</v>
      </c>
      <c r="K11" s="153">
        <f>SUM('OBLIGAGIONS RECON. CAIB '!K16:K17)</f>
        <v>43.35</v>
      </c>
      <c r="L11" s="153">
        <f>SUM('OBLIGAGIONS RECON. CAIB '!L16:L17)</f>
        <v>83.55</v>
      </c>
      <c r="M11" s="153">
        <f>SUM('OBLIGAGIONS RECON. CAIB '!M16:M17)</f>
        <v>69.69</v>
      </c>
      <c r="N11" s="153">
        <f>SUM('OBLIGAGIONS RECON. CAIB '!N16:N17)</f>
        <v>650.52305705000003</v>
      </c>
      <c r="O11" s="153">
        <f>SUM('OBLIGAGIONS RECON. CAIB '!O16:O17)</f>
        <v>485.45</v>
      </c>
      <c r="P11" s="153">
        <f>SUM('OBLIGAGIONS RECON. CAIB '!P16:P17)</f>
        <v>1003.6600000000001</v>
      </c>
      <c r="Q11" s="153">
        <f>SUM('OBLIGAGIONS RECON. CAIB '!Q16:Q17)</f>
        <v>647.79</v>
      </c>
      <c r="R11" s="153">
        <f>SUM('OBLIGAGIONS RECON. CAIB '!R16:R17)</f>
        <v>843.49</v>
      </c>
      <c r="S11" s="153">
        <f>SUM('OBLIGAGIONS RECON. CAIB '!S16:S17)</f>
        <v>820.58</v>
      </c>
      <c r="T11" s="153">
        <f>SUM('OBLIGAGIONS RECON. CAIB '!T16:T17)</f>
        <v>901.39</v>
      </c>
      <c r="U11" s="153">
        <f>SUM('OBLIGAGIONS RECON. CAIB '!U16:U17)</f>
        <v>1019.09</v>
      </c>
      <c r="V11" s="153">
        <f>SUM('OBLIGAGIONS RECON. CAIB '!V16:V17)</f>
        <v>1507.14</v>
      </c>
      <c r="W11" s="153">
        <f>SUM('OBLIGAGIONS RECON. CAIB '!W16:W17)</f>
        <v>1195.57</v>
      </c>
    </row>
    <row r="12" spans="1:23" ht="8.35" customHeight="1" thickBot="1">
      <c r="A12" s="156"/>
      <c r="B12" s="156"/>
      <c r="C12" s="156"/>
      <c r="D12" s="156"/>
      <c r="E12" s="156"/>
      <c r="F12" s="86"/>
      <c r="G12" s="111"/>
      <c r="H12" s="111"/>
      <c r="I12" s="165"/>
      <c r="J12" s="165"/>
    </row>
    <row r="13" spans="1:23" ht="24.8" customHeight="1" thickTop="1" thickBot="1">
      <c r="A13" s="219" t="s">
        <v>4</v>
      </c>
      <c r="B13" s="220">
        <f t="shared" ref="B13:M13" si="0">SUM(B9:B12)</f>
        <v>880.9</v>
      </c>
      <c r="C13" s="220">
        <f t="shared" si="0"/>
        <v>942.38</v>
      </c>
      <c r="D13" s="220">
        <f t="shared" si="0"/>
        <v>1013.3</v>
      </c>
      <c r="E13" s="220">
        <f t="shared" si="0"/>
        <v>1992.3</v>
      </c>
      <c r="F13" s="220">
        <f t="shared" si="0"/>
        <v>2135.0899999999997</v>
      </c>
      <c r="G13" s="220">
        <f t="shared" si="0"/>
        <v>2314.91</v>
      </c>
      <c r="H13" s="220">
        <f t="shared" si="0"/>
        <v>2988.6299999999997</v>
      </c>
      <c r="I13" s="220">
        <f t="shared" si="0"/>
        <v>2957.2599999999998</v>
      </c>
      <c r="J13" s="220">
        <f t="shared" si="0"/>
        <v>3307.02</v>
      </c>
      <c r="K13" s="220">
        <f t="shared" si="0"/>
        <v>3635.7100000000005</v>
      </c>
      <c r="L13" s="220">
        <f t="shared" si="0"/>
        <v>3964.56</v>
      </c>
      <c r="M13" s="220">
        <f t="shared" si="0"/>
        <v>3865.5100000000007</v>
      </c>
      <c r="N13" s="220">
        <f t="shared" ref="N13" si="1">SUM(N9:N12)</f>
        <v>5628.3243755800004</v>
      </c>
      <c r="O13" s="220">
        <f>SUM(O9:O12)</f>
        <v>3579.9199999999996</v>
      </c>
      <c r="P13" s="220">
        <f>SUM(P9:P12)</f>
        <v>4186.4800000000005</v>
      </c>
      <c r="Q13" s="220">
        <f t="shared" ref="Q13:V13" si="2">SUM(Q9:Q11)</f>
        <v>3998.36</v>
      </c>
      <c r="R13" s="220">
        <f t="shared" si="2"/>
        <v>4307.2700000000004</v>
      </c>
      <c r="S13" s="220">
        <f t="shared" si="2"/>
        <v>4697.9399999999996</v>
      </c>
      <c r="T13" s="220">
        <f t="shared" si="2"/>
        <v>5021.420000000001</v>
      </c>
      <c r="U13" s="220">
        <f t="shared" si="2"/>
        <v>5429.68</v>
      </c>
      <c r="V13" s="220">
        <f t="shared" si="2"/>
        <v>6146.1</v>
      </c>
      <c r="W13" s="220">
        <f t="shared" ref="W13" si="3">SUM(W9:W11)</f>
        <v>6706.0199999999995</v>
      </c>
    </row>
    <row r="14" spans="1:23" ht="24.8" customHeight="1" thickTop="1">
      <c r="A14" s="49"/>
      <c r="B14" s="49"/>
      <c r="C14" s="49"/>
      <c r="D14" s="49"/>
      <c r="E14" s="49"/>
    </row>
    <row r="15" spans="1:23" s="67" customFormat="1" ht="24.8" customHeight="1">
      <c r="A15" s="49"/>
      <c r="B15" s="49"/>
      <c r="C15" s="49"/>
      <c r="D15" s="48"/>
      <c r="E15" s="48"/>
      <c r="F15" s="48"/>
    </row>
    <row r="16" spans="1:23" s="67" customFormat="1" ht="24.8" customHeight="1">
      <c r="A16" s="49"/>
      <c r="B16" s="49"/>
      <c r="C16" s="49"/>
      <c r="D16" s="48"/>
      <c r="E16" s="48"/>
      <c r="F16" s="48"/>
    </row>
    <row r="17" spans="1:21" s="67" customFormat="1" ht="24.8" customHeight="1">
      <c r="A17" s="49"/>
      <c r="B17" s="49"/>
      <c r="C17" s="49"/>
      <c r="D17" s="48"/>
      <c r="E17" s="48"/>
      <c r="F17" s="48"/>
    </row>
    <row r="18" spans="1:21" s="67" customFormat="1" ht="24.8" customHeight="1">
      <c r="A18" s="49"/>
      <c r="B18" s="49"/>
      <c r="C18" s="49"/>
      <c r="D18" s="48"/>
      <c r="E18" s="48"/>
      <c r="F18" s="48"/>
    </row>
    <row r="19" spans="1:21" ht="23.3" customHeight="1">
      <c r="A19" s="32"/>
      <c r="D19" s="4"/>
      <c r="E19" s="4"/>
      <c r="G19"/>
      <c r="H19"/>
      <c r="I19"/>
    </row>
    <row r="20" spans="1:21" ht="24.8" customHeight="1"/>
    <row r="21" spans="1:21" ht="24.8" customHeight="1"/>
    <row r="22" spans="1:21" ht="24.8" customHeight="1"/>
    <row r="23" spans="1:21" ht="24.8" customHeight="1"/>
    <row r="24" spans="1:21" ht="24.8" customHeight="1">
      <c r="B24" s="7">
        <v>2013</v>
      </c>
      <c r="D24" s="7">
        <v>3775.53</v>
      </c>
      <c r="E24" s="7">
        <v>3988.22</v>
      </c>
      <c r="F24" s="4">
        <f>E24/D24*100</f>
        <v>105.63338127362249</v>
      </c>
    </row>
    <row r="25" spans="1:21" ht="18" customHeight="1"/>
    <row r="26" spans="1:21" ht="12.75" customHeight="1"/>
    <row r="27" spans="1:21" ht="14.3" customHeight="1">
      <c r="A27" s="491" t="s">
        <v>197</v>
      </c>
      <c r="B27" s="491"/>
      <c r="C27" s="491"/>
      <c r="D27" s="491"/>
      <c r="E27" s="491"/>
      <c r="F27" s="491"/>
      <c r="G27" s="491"/>
      <c r="H27" s="491"/>
      <c r="I27" s="491"/>
      <c r="J27" s="491"/>
      <c r="K27" s="491"/>
      <c r="L27" s="491"/>
      <c r="M27" s="491"/>
      <c r="N27" s="491"/>
      <c r="O27" s="491"/>
      <c r="P27" s="491"/>
      <c r="Q27" s="491"/>
      <c r="R27" s="502"/>
      <c r="S27" s="508"/>
      <c r="T27" s="518"/>
      <c r="U27" s="491"/>
    </row>
    <row r="28" spans="1:21" ht="14.3" customHeight="1">
      <c r="A28" s="526" t="s">
        <v>221</v>
      </c>
      <c r="B28" s="491"/>
      <c r="C28" s="491"/>
      <c r="D28" s="491"/>
      <c r="E28" s="491"/>
      <c r="F28" s="491"/>
      <c r="G28" s="491"/>
      <c r="H28" s="491"/>
      <c r="I28" s="491"/>
      <c r="J28" s="491"/>
      <c r="K28" s="491"/>
      <c r="L28" s="491"/>
      <c r="M28" s="491"/>
      <c r="N28" s="491"/>
      <c r="O28" s="491"/>
      <c r="P28" s="491"/>
      <c r="Q28" s="491"/>
      <c r="R28" s="502"/>
      <c r="S28" s="508"/>
      <c r="T28" s="518"/>
      <c r="U28" s="491"/>
    </row>
    <row r="29" spans="1:21" ht="12.75" customHeight="1">
      <c r="A29" s="41" t="s">
        <v>222</v>
      </c>
      <c r="B29" s="526"/>
      <c r="C29" s="526"/>
      <c r="D29" s="526"/>
      <c r="E29" s="526"/>
      <c r="F29" s="526"/>
      <c r="G29" s="526"/>
      <c r="H29" s="526"/>
      <c r="I29" s="526"/>
      <c r="J29" s="526"/>
      <c r="K29" s="526"/>
      <c r="L29" s="526"/>
      <c r="M29" s="526"/>
      <c r="N29" s="526"/>
      <c r="O29" s="526"/>
      <c r="P29" s="526"/>
      <c r="Q29" s="526"/>
      <c r="R29" s="526"/>
      <c r="S29" s="526"/>
      <c r="T29" s="526"/>
      <c r="U29" s="526"/>
    </row>
    <row r="30" spans="1:21" ht="12.1" customHeight="1">
      <c r="B30" s="491"/>
      <c r="C30" s="491"/>
      <c r="D30" s="491"/>
      <c r="E30" s="491"/>
      <c r="F30" s="491"/>
      <c r="G30" s="491"/>
      <c r="H30" s="491"/>
      <c r="I30" s="491"/>
      <c r="J30" s="491"/>
      <c r="K30" s="491"/>
      <c r="L30" s="491"/>
      <c r="M30" s="491"/>
      <c r="N30" s="491"/>
      <c r="O30" s="428"/>
      <c r="P30" s="491"/>
      <c r="Q30" s="491"/>
      <c r="R30" s="502"/>
      <c r="S30" s="508"/>
      <c r="T30" s="518"/>
      <c r="U30" s="491"/>
    </row>
  </sheetData>
  <mergeCells count="1">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1">
    <tabColor rgb="FF00B050"/>
  </sheetPr>
  <dimension ref="A1:P67"/>
  <sheetViews>
    <sheetView showGridLines="0" topLeftCell="A25" zoomScaleNormal="100" zoomScaleSheetLayoutView="100" workbookViewId="0">
      <selection activeCell="H31" sqref="H31"/>
    </sheetView>
  </sheetViews>
  <sheetFormatPr baseColWidth="10" defaultRowHeight="15.65"/>
  <cols>
    <col min="1" max="1" width="9.375" style="7" customWidth="1"/>
    <col min="2" max="4" width="21.875" style="7" customWidth="1"/>
    <col min="5" max="5" width="19.125" style="7" customWidth="1"/>
    <col min="6" max="8" width="21.875" style="7" customWidth="1"/>
    <col min="9" max="9" width="25.375" style="7" customWidth="1"/>
    <col min="10" max="10" width="13.375" style="7" customWidth="1"/>
    <col min="11" max="16" width="10.875" style="4"/>
  </cols>
  <sheetData>
    <row r="1" spans="1:12" ht="18" customHeight="1">
      <c r="A1" s="1"/>
      <c r="B1" s="2"/>
      <c r="C1" s="2"/>
      <c r="D1" s="2"/>
      <c r="E1" s="2"/>
      <c r="F1" s="2"/>
      <c r="G1" s="2"/>
      <c r="H1" s="2"/>
      <c r="I1" s="2"/>
      <c r="J1" s="3"/>
    </row>
    <row r="2" spans="1:12" ht="18" customHeight="1">
      <c r="A2" s="1"/>
      <c r="B2" s="2"/>
      <c r="C2" s="2"/>
      <c r="D2" s="2"/>
      <c r="E2" s="2"/>
      <c r="F2" s="2"/>
      <c r="G2" s="2"/>
      <c r="H2" s="2"/>
      <c r="I2" s="2"/>
      <c r="J2" s="3"/>
    </row>
    <row r="3" spans="1:12" ht="18" customHeight="1">
      <c r="A3" s="1"/>
      <c r="B3" s="2"/>
      <c r="C3" s="2"/>
      <c r="D3" s="2"/>
      <c r="E3" s="2"/>
      <c r="F3" s="2"/>
      <c r="G3" s="2"/>
      <c r="H3" s="2"/>
      <c r="I3" s="2"/>
      <c r="J3" s="3"/>
    </row>
    <row r="4" spans="1:12" ht="20.25" customHeight="1">
      <c r="A4" s="592" t="s">
        <v>234</v>
      </c>
      <c r="B4" s="592"/>
      <c r="C4" s="592"/>
      <c r="D4" s="592"/>
      <c r="E4" s="592"/>
      <c r="F4" s="592"/>
      <c r="G4" s="592"/>
      <c r="H4" s="592"/>
      <c r="I4" s="2"/>
      <c r="J4" s="3"/>
    </row>
    <row r="5" spans="1:12" ht="18" customHeight="1">
      <c r="B5" s="557"/>
      <c r="C5" s="2"/>
      <c r="D5" s="2"/>
      <c r="E5" s="2"/>
      <c r="F5" s="2"/>
      <c r="G5" s="2"/>
      <c r="H5" s="2"/>
      <c r="I5" s="2"/>
      <c r="J5" s="3"/>
    </row>
    <row r="6" spans="1:12" ht="24.8" customHeight="1" thickBot="1">
      <c r="A6" s="557" t="s">
        <v>199</v>
      </c>
      <c r="B6" s="595" t="s">
        <v>135</v>
      </c>
      <c r="C6" s="595"/>
      <c r="D6" s="595"/>
      <c r="E6" s="79"/>
      <c r="F6" s="595" t="s">
        <v>134</v>
      </c>
      <c r="G6" s="595"/>
      <c r="H6" s="595"/>
      <c r="I6" s="5"/>
      <c r="J6" s="6"/>
    </row>
    <row r="7" spans="1:12" ht="21.1" customHeight="1" thickTop="1">
      <c r="A7" s="8"/>
      <c r="B7" s="9"/>
      <c r="C7" s="108" t="s">
        <v>128</v>
      </c>
      <c r="D7" s="9"/>
      <c r="E7" s="9"/>
      <c r="F7" s="9"/>
      <c r="G7" s="108" t="s">
        <v>128</v>
      </c>
      <c r="H7" s="9"/>
      <c r="I7" s="9"/>
      <c r="J7"/>
    </row>
    <row r="8" spans="1:12" ht="18" customHeight="1">
      <c r="A8" s="11"/>
      <c r="B8" s="107" t="s">
        <v>127</v>
      </c>
      <c r="C8" s="107" t="s">
        <v>129</v>
      </c>
      <c r="D8" s="107" t="s">
        <v>130</v>
      </c>
      <c r="E8" s="107"/>
      <c r="F8" s="107" t="s">
        <v>127</v>
      </c>
      <c r="G8" s="107" t="s">
        <v>129</v>
      </c>
      <c r="H8" s="107" t="s">
        <v>130</v>
      </c>
      <c r="I8" s="12"/>
      <c r="J8"/>
      <c r="K8" s="582"/>
      <c r="L8" s="582"/>
    </row>
    <row r="9" spans="1:12" ht="9" customHeight="1" thickBot="1">
      <c r="A9" s="27"/>
      <c r="B9" s="81"/>
      <c r="C9" s="81"/>
      <c r="D9" s="82"/>
      <c r="E9" s="110"/>
      <c r="F9" s="82"/>
      <c r="G9" s="263"/>
      <c r="H9" s="263"/>
      <c r="I9" s="14"/>
      <c r="J9"/>
    </row>
    <row r="10" spans="1:12" ht="18" hidden="1" customHeight="1">
      <c r="A10" s="113">
        <v>1999</v>
      </c>
      <c r="B10" s="114" t="e">
        <f>#REF!</f>
        <v>#REF!</v>
      </c>
      <c r="C10" s="114" t="e">
        <f>#REF!</f>
        <v>#REF!</v>
      </c>
      <c r="D10" s="114" t="e">
        <f t="shared" ref="D10:D21" si="0">C10/B10*100</f>
        <v>#REF!</v>
      </c>
      <c r="E10" s="114"/>
      <c r="F10" s="114" t="e">
        <f>#REF!</f>
        <v>#REF!</v>
      </c>
      <c r="G10" s="264" t="e">
        <f>#REF!</f>
        <v>#REF!</v>
      </c>
      <c r="H10" s="211" t="e">
        <f t="shared" ref="H10:H21" si="1">G10/F10*100</f>
        <v>#REF!</v>
      </c>
      <c r="I10" s="16"/>
      <c r="J10"/>
    </row>
    <row r="11" spans="1:12" ht="18" hidden="1" customHeight="1">
      <c r="A11" s="113">
        <v>2000</v>
      </c>
      <c r="B11" s="114" t="e">
        <f>#REF!</f>
        <v>#REF!</v>
      </c>
      <c r="C11" s="114" t="e">
        <f>#REF!</f>
        <v>#REF!</v>
      </c>
      <c r="D11" s="114" t="e">
        <f t="shared" si="0"/>
        <v>#REF!</v>
      </c>
      <c r="E11" s="114"/>
      <c r="F11" s="114" t="e">
        <f>#REF!</f>
        <v>#REF!</v>
      </c>
      <c r="G11" s="264" t="e">
        <f>#REF!</f>
        <v>#REF!</v>
      </c>
      <c r="H11" s="211" t="e">
        <f t="shared" si="1"/>
        <v>#REF!</v>
      </c>
      <c r="I11" s="17"/>
      <c r="J11"/>
    </row>
    <row r="12" spans="1:12" ht="18" hidden="1" customHeight="1">
      <c r="A12" s="115">
        <v>2001</v>
      </c>
      <c r="B12" s="114">
        <v>290.33692738571756</v>
      </c>
      <c r="C12" s="114">
        <v>293.52512532304399</v>
      </c>
      <c r="D12" s="116">
        <f t="shared" si="0"/>
        <v>101.09810280284839</v>
      </c>
      <c r="E12" s="116"/>
      <c r="F12" s="114">
        <v>324.48083156034761</v>
      </c>
      <c r="G12" s="264">
        <v>341.80995683531069</v>
      </c>
      <c r="H12" s="211">
        <f t="shared" si="1"/>
        <v>105.34056979317749</v>
      </c>
      <c r="I12" s="16"/>
      <c r="J12"/>
    </row>
    <row r="13" spans="1:12" ht="18" hidden="1" customHeight="1">
      <c r="A13" s="115">
        <v>2002</v>
      </c>
      <c r="B13" s="114">
        <v>27.65</v>
      </c>
      <c r="C13" s="114">
        <v>27.61</v>
      </c>
      <c r="D13" s="117">
        <f t="shared" si="0"/>
        <v>99.85533453887885</v>
      </c>
      <c r="E13" s="117"/>
      <c r="F13" s="114">
        <v>329.15</v>
      </c>
      <c r="G13" s="264">
        <v>351.84000000000003</v>
      </c>
      <c r="H13" s="211">
        <f t="shared" si="1"/>
        <v>106.89351359562511</v>
      </c>
      <c r="I13" s="16"/>
      <c r="J13"/>
    </row>
    <row r="14" spans="1:12" ht="18" hidden="1" customHeight="1">
      <c r="A14" s="115">
        <v>2003</v>
      </c>
      <c r="B14" s="114">
        <v>1418.3706099999999</v>
      </c>
      <c r="C14" s="114">
        <v>1406.7012068199999</v>
      </c>
      <c r="D14" s="117">
        <f t="shared" si="0"/>
        <v>99.177266992298996</v>
      </c>
      <c r="E14" s="117"/>
      <c r="F14" s="114">
        <v>349.75</v>
      </c>
      <c r="G14" s="264">
        <v>388.45</v>
      </c>
      <c r="H14" s="211">
        <f t="shared" si="1"/>
        <v>111.06504646175839</v>
      </c>
      <c r="I14" s="16"/>
      <c r="J14"/>
    </row>
    <row r="15" spans="1:12" ht="21.75" hidden="1" customHeight="1" thickTop="1">
      <c r="A15" s="164">
        <v>2004</v>
      </c>
      <c r="B15" s="211">
        <v>1527.8</v>
      </c>
      <c r="C15" s="114">
        <v>1491.3013305899999</v>
      </c>
      <c r="D15" s="117">
        <f t="shared" si="0"/>
        <v>97.611030932713703</v>
      </c>
      <c r="E15" s="117"/>
      <c r="F15" s="117">
        <v>352.32</v>
      </c>
      <c r="G15" s="264">
        <v>463.53000000000003</v>
      </c>
      <c r="H15" s="211">
        <f t="shared" si="1"/>
        <v>131.56505449591282</v>
      </c>
      <c r="I15" s="16"/>
      <c r="J15"/>
    </row>
    <row r="16" spans="1:12" ht="21.75" hidden="1" customHeight="1" thickTop="1">
      <c r="A16" s="236">
        <v>2005</v>
      </c>
      <c r="B16" s="114">
        <v>1594.7600000000002</v>
      </c>
      <c r="C16" s="114">
        <v>1657.9150057300001</v>
      </c>
      <c r="D16" s="117">
        <f t="shared" si="0"/>
        <v>103.96015737352329</v>
      </c>
      <c r="E16" s="117"/>
      <c r="F16" s="211">
        <v>463.34000000000003</v>
      </c>
      <c r="G16" s="264">
        <v>658.7</v>
      </c>
      <c r="H16" s="211">
        <f t="shared" si="1"/>
        <v>142.1634221090344</v>
      </c>
      <c r="I16" s="16"/>
      <c r="J16"/>
    </row>
    <row r="17" spans="1:10" ht="21.75" hidden="1" customHeight="1" thickTop="1">
      <c r="A17" s="236">
        <v>2006</v>
      </c>
      <c r="B17" s="114">
        <v>1683.09</v>
      </c>
      <c r="C17" s="114">
        <v>1810.3298682299999</v>
      </c>
      <c r="D17" s="117">
        <f t="shared" si="0"/>
        <v>107.55989687004259</v>
      </c>
      <c r="E17" s="117"/>
      <c r="F17" s="211">
        <v>585.97</v>
      </c>
      <c r="G17" s="264">
        <v>799.3</v>
      </c>
      <c r="H17" s="211">
        <f t="shared" si="1"/>
        <v>136.40630066385651</v>
      </c>
      <c r="I17" s="16"/>
      <c r="J17"/>
    </row>
    <row r="18" spans="1:10" ht="21.75" hidden="1" customHeight="1" thickTop="1">
      <c r="A18" s="236">
        <v>2007</v>
      </c>
      <c r="B18" s="114">
        <v>1810.1499999999999</v>
      </c>
      <c r="C18" s="114">
        <v>1937.8799999999999</v>
      </c>
      <c r="D18" s="117">
        <f t="shared" si="0"/>
        <v>107.05632129933984</v>
      </c>
      <c r="E18" s="117"/>
      <c r="F18" s="211">
        <v>660.04000000000008</v>
      </c>
      <c r="G18" s="264">
        <v>774.79</v>
      </c>
      <c r="H18" s="211">
        <f t="shared" si="1"/>
        <v>117.38530998121324</v>
      </c>
      <c r="I18" s="16"/>
      <c r="J18"/>
    </row>
    <row r="19" spans="1:10" ht="21.75" hidden="1" customHeight="1" thickTop="1">
      <c r="A19" s="236">
        <v>2008</v>
      </c>
      <c r="B19" s="114">
        <v>2049.3000000000002</v>
      </c>
      <c r="C19" s="114">
        <v>2037.76</v>
      </c>
      <c r="D19" s="117">
        <f t="shared" si="0"/>
        <v>99.436880886156246</v>
      </c>
      <c r="E19" s="24"/>
      <c r="F19" s="117">
        <v>759.71</v>
      </c>
      <c r="G19" s="264">
        <v>518.83000000000004</v>
      </c>
      <c r="H19" s="211">
        <f t="shared" si="1"/>
        <v>68.293164496979102</v>
      </c>
      <c r="I19" s="16"/>
      <c r="J19"/>
    </row>
    <row r="20" spans="1:10" ht="21.75" hidden="1" customHeight="1" thickTop="1">
      <c r="A20" s="236">
        <v>2009</v>
      </c>
      <c r="B20" s="114">
        <v>2001.43</v>
      </c>
      <c r="C20" s="114">
        <v>1885.63</v>
      </c>
      <c r="D20" s="117">
        <f t="shared" si="0"/>
        <v>94.214136892122141</v>
      </c>
      <c r="E20" s="24"/>
      <c r="F20" s="117">
        <v>567.27</v>
      </c>
      <c r="G20" s="264">
        <v>398.25</v>
      </c>
      <c r="H20" s="211">
        <f t="shared" si="1"/>
        <v>70.204664445502146</v>
      </c>
      <c r="I20" s="16"/>
      <c r="J20"/>
    </row>
    <row r="21" spans="1:10" ht="21.75" hidden="1" customHeight="1" thickTop="1">
      <c r="A21" s="236">
        <v>2010</v>
      </c>
      <c r="B21" s="114">
        <v>1618.2</v>
      </c>
      <c r="C21" s="114">
        <v>1466.78</v>
      </c>
      <c r="D21" s="117">
        <f t="shared" si="0"/>
        <v>90.642689407984179</v>
      </c>
      <c r="E21" s="24"/>
      <c r="F21" s="117">
        <v>449.86</v>
      </c>
      <c r="G21" s="264">
        <v>426.01</v>
      </c>
      <c r="H21" s="211">
        <f t="shared" si="1"/>
        <v>94.69835059796381</v>
      </c>
      <c r="I21" s="16"/>
      <c r="J21"/>
    </row>
    <row r="22" spans="1:10" ht="21.75" customHeight="1" thickTop="1">
      <c r="A22" s="236">
        <v>2012</v>
      </c>
      <c r="B22" s="114">
        <v>2497.71</v>
      </c>
      <c r="C22" s="114">
        <v>2888.42</v>
      </c>
      <c r="D22" s="117">
        <f t="shared" ref="D22:D30" si="2">C22/B22*100</f>
        <v>115.64272873952541</v>
      </c>
      <c r="E22" s="24"/>
      <c r="F22" s="117">
        <v>349.07</v>
      </c>
      <c r="G22" s="264">
        <v>372.62</v>
      </c>
      <c r="H22" s="211">
        <f t="shared" ref="H22:H30" si="3">G22/F22*100</f>
        <v>106.74649783711003</v>
      </c>
      <c r="I22" s="16"/>
      <c r="J22"/>
    </row>
    <row r="23" spans="1:10" ht="21.75" customHeight="1">
      <c r="A23" s="236">
        <v>2013</v>
      </c>
      <c r="B23" s="114">
        <f>776.37+24.2+1048.07+443.04+136.54</f>
        <v>2428.2199999999998</v>
      </c>
      <c r="C23" s="114">
        <f>725.13+42.68+1022.33+398.07+72.43</f>
        <v>2260.64</v>
      </c>
      <c r="D23" s="117">
        <f t="shared" si="2"/>
        <v>93.098648392649764</v>
      </c>
      <c r="E23" s="24"/>
      <c r="F23" s="117">
        <f>67.88+347.59+36.51</f>
        <v>451.97999999999996</v>
      </c>
      <c r="G23" s="264">
        <f>69.32+293.4+32.6</f>
        <v>395.32</v>
      </c>
      <c r="H23" s="211">
        <f t="shared" si="3"/>
        <v>87.464047081729291</v>
      </c>
      <c r="I23" s="16"/>
      <c r="J23"/>
    </row>
    <row r="24" spans="1:10" ht="21.75" customHeight="1">
      <c r="A24" s="236">
        <v>2014</v>
      </c>
      <c r="B24" s="114">
        <v>2279.6</v>
      </c>
      <c r="C24" s="114">
        <v>2334.9299999999998</v>
      </c>
      <c r="D24" s="117">
        <f t="shared" si="2"/>
        <v>102.42718020705385</v>
      </c>
      <c r="E24" s="24"/>
      <c r="F24" s="117">
        <v>515.91999999999996</v>
      </c>
      <c r="G24" s="264">
        <v>559.57999999999993</v>
      </c>
      <c r="H24" s="211">
        <f t="shared" si="3"/>
        <v>108.46255233369516</v>
      </c>
      <c r="I24" s="16"/>
      <c r="J24"/>
    </row>
    <row r="25" spans="1:10" ht="21.75" customHeight="1">
      <c r="A25" s="236">
        <v>2015</v>
      </c>
      <c r="B25" s="114">
        <v>2422.42</v>
      </c>
      <c r="C25" s="114">
        <v>2362.15</v>
      </c>
      <c r="D25" s="117">
        <f t="shared" si="2"/>
        <v>97.511992140091323</v>
      </c>
      <c r="E25" s="24"/>
      <c r="F25" s="117">
        <v>496.72</v>
      </c>
      <c r="G25" s="264">
        <v>584.34</v>
      </c>
      <c r="H25" s="114">
        <f t="shared" si="3"/>
        <v>117.63971654050572</v>
      </c>
      <c r="I25" s="16"/>
      <c r="J25"/>
    </row>
    <row r="26" spans="1:10" ht="21.75" customHeight="1">
      <c r="A26" s="236">
        <v>2016</v>
      </c>
      <c r="B26" s="114">
        <v>2437.35</v>
      </c>
      <c r="C26" s="114">
        <v>2448.19</v>
      </c>
      <c r="D26" s="117">
        <f t="shared" si="2"/>
        <v>100.44474531766059</v>
      </c>
      <c r="E26" s="24"/>
      <c r="F26" s="117">
        <v>608</v>
      </c>
      <c r="G26" s="264">
        <v>666.87</v>
      </c>
      <c r="H26" s="114">
        <f t="shared" si="3"/>
        <v>109.68256578947368</v>
      </c>
      <c r="I26" s="16"/>
      <c r="J26"/>
    </row>
    <row r="27" spans="1:10" ht="21.75" customHeight="1">
      <c r="A27" s="236">
        <v>2017</v>
      </c>
      <c r="B27" s="114">
        <v>2512.75</v>
      </c>
      <c r="C27" s="114">
        <v>2726.81</v>
      </c>
      <c r="D27" s="117">
        <f t="shared" si="2"/>
        <v>108.51895333797631</v>
      </c>
      <c r="E27" s="24"/>
      <c r="F27" s="117">
        <v>646.91999999999996</v>
      </c>
      <c r="G27" s="264">
        <v>762.99</v>
      </c>
      <c r="H27" s="114">
        <f t="shared" si="3"/>
        <v>117.94194027082175</v>
      </c>
      <c r="I27" s="16"/>
      <c r="J27"/>
    </row>
    <row r="28" spans="1:10" ht="21.75" customHeight="1">
      <c r="A28" s="236">
        <v>2018</v>
      </c>
      <c r="B28" s="114">
        <v>2860.27</v>
      </c>
      <c r="C28" s="114">
        <v>3185.13</v>
      </c>
      <c r="D28" s="117">
        <f t="shared" si="2"/>
        <v>111.35766903124531</v>
      </c>
      <c r="E28" s="24"/>
      <c r="F28" s="117">
        <v>766.43</v>
      </c>
      <c r="G28" s="264">
        <v>785.97</v>
      </c>
      <c r="H28" s="114">
        <f t="shared" si="3"/>
        <v>102.54948266638833</v>
      </c>
      <c r="I28" s="16"/>
      <c r="J28"/>
    </row>
    <row r="29" spans="1:10" ht="20.399999999999999" customHeight="1">
      <c r="A29" s="236">
        <v>2019</v>
      </c>
      <c r="B29" s="114">
        <v>3409.34</v>
      </c>
      <c r="C29" s="114">
        <v>3324.5</v>
      </c>
      <c r="D29" s="117">
        <f t="shared" si="2"/>
        <v>97.511541823344103</v>
      </c>
      <c r="E29" s="23"/>
      <c r="F29" s="117">
        <v>841.37</v>
      </c>
      <c r="G29" s="264">
        <v>719.04</v>
      </c>
      <c r="H29" s="114">
        <f t="shared" si="3"/>
        <v>85.460617801918289</v>
      </c>
      <c r="I29" s="16"/>
      <c r="J29"/>
    </row>
    <row r="30" spans="1:10" ht="20.399999999999999" customHeight="1">
      <c r="A30" s="236">
        <v>2020</v>
      </c>
      <c r="B30" s="114">
        <v>3594.56</v>
      </c>
      <c r="C30" s="114">
        <v>3587.41</v>
      </c>
      <c r="D30" s="117">
        <f t="shared" si="2"/>
        <v>99.801088311225854</v>
      </c>
      <c r="E30" s="23"/>
      <c r="F30" s="117">
        <v>756.41</v>
      </c>
      <c r="G30" s="264">
        <v>651.52</v>
      </c>
      <c r="H30" s="114">
        <f t="shared" si="3"/>
        <v>86.133181740061602</v>
      </c>
      <c r="I30" s="16"/>
      <c r="J30"/>
    </row>
    <row r="31" spans="1:10" ht="20.399999999999999" customHeight="1">
      <c r="A31" s="236">
        <v>2021</v>
      </c>
      <c r="B31" s="114">
        <v>3443.94</v>
      </c>
      <c r="C31" s="114">
        <v>3477.27</v>
      </c>
      <c r="D31" s="117">
        <f t="shared" ref="D31" si="4">C31/B31*100</f>
        <v>100.96778689524209</v>
      </c>
      <c r="E31" s="23"/>
      <c r="F31" s="117">
        <v>559.80999999999995</v>
      </c>
      <c r="G31" s="264">
        <v>997.83</v>
      </c>
      <c r="H31" s="114">
        <f t="shared" ref="H31" si="5">G31/F31*100</f>
        <v>178.24440435147642</v>
      </c>
      <c r="I31" s="16"/>
      <c r="J31"/>
    </row>
    <row r="32" spans="1:10" ht="20.399999999999999" customHeight="1">
      <c r="A32" s="236"/>
      <c r="B32" s="114"/>
      <c r="C32" s="114"/>
      <c r="D32" s="117"/>
      <c r="E32" s="23"/>
      <c r="F32" s="117"/>
      <c r="G32" s="264"/>
      <c r="H32" s="114"/>
      <c r="I32" s="16"/>
      <c r="J32"/>
    </row>
    <row r="33" spans="1:10" ht="18" customHeight="1">
      <c r="A33" s="23"/>
      <c r="B33" s="23"/>
      <c r="C33" s="23"/>
      <c r="D33" s="23"/>
      <c r="E33" s="23"/>
      <c r="F33" s="24"/>
      <c r="G33" s="23"/>
      <c r="H33" s="109"/>
      <c r="I33" s="16"/>
      <c r="J33"/>
    </row>
    <row r="34" spans="1:10" ht="18" customHeight="1">
      <c r="A34" s="23"/>
      <c r="B34" s="23"/>
      <c r="C34" s="23"/>
      <c r="D34" s="23"/>
      <c r="E34" s="23"/>
      <c r="F34" s="23"/>
      <c r="G34" s="23"/>
      <c r="H34" s="16"/>
      <c r="I34" s="16"/>
      <c r="J34"/>
    </row>
    <row r="35" spans="1:10" ht="18" customHeight="1">
      <c r="A35" s="23"/>
      <c r="B35" s="23"/>
      <c r="C35" s="23"/>
      <c r="D35" s="23"/>
      <c r="E35" s="23"/>
      <c r="F35" s="23"/>
      <c r="G35" s="23"/>
      <c r="H35" s="16"/>
      <c r="I35" s="16"/>
      <c r="J35"/>
    </row>
    <row r="36" spans="1:10" ht="18" customHeight="1">
      <c r="A36" s="23"/>
      <c r="B36" s="23"/>
      <c r="C36" s="23"/>
      <c r="D36" s="23"/>
      <c r="E36" s="23"/>
      <c r="F36" s="23"/>
      <c r="G36" s="23"/>
      <c r="H36" s="18"/>
      <c r="I36" s="18"/>
      <c r="J36" s="19"/>
    </row>
    <row r="37" spans="1:10" ht="18" customHeight="1">
      <c r="A37"/>
      <c r="B37"/>
      <c r="C37"/>
      <c r="D37"/>
      <c r="E37"/>
      <c r="F37" s="23"/>
      <c r="G37" s="262"/>
      <c r="H37" s="20"/>
      <c r="I37" s="20"/>
      <c r="J37" s="19"/>
    </row>
    <row r="38" spans="1:10" ht="18" customHeight="1">
      <c r="A38"/>
      <c r="B38"/>
      <c r="C38"/>
      <c r="D38"/>
      <c r="E38"/>
      <c r="F38" s="23"/>
      <c r="G38" s="262"/>
      <c r="H38" s="21"/>
      <c r="I38" s="21"/>
      <c r="J38" s="19"/>
    </row>
    <row r="39" spans="1:10" ht="18" customHeight="1">
      <c r="A39"/>
      <c r="B39"/>
      <c r="C39"/>
      <c r="D39"/>
      <c r="E39"/>
      <c r="F39"/>
      <c r="G39" s="262"/>
      <c r="H39" s="21"/>
      <c r="I39" s="21"/>
      <c r="J39" s="19"/>
    </row>
    <row r="40" spans="1:10" ht="18" customHeight="1">
      <c r="A40"/>
      <c r="B40"/>
      <c r="C40"/>
      <c r="D40"/>
      <c r="E40"/>
      <c r="F40"/>
      <c r="G40"/>
      <c r="H40" s="21"/>
      <c r="I40" s="21"/>
      <c r="J40" s="19"/>
    </row>
    <row r="41" spans="1:10" ht="18" customHeight="1">
      <c r="A41"/>
      <c r="B41"/>
      <c r="C41"/>
      <c r="D41"/>
      <c r="E41"/>
      <c r="F41"/>
      <c r="G41"/>
      <c r="H41" s="24"/>
      <c r="I41" s="24"/>
      <c r="J41"/>
    </row>
    <row r="42" spans="1:10" ht="18" customHeight="1">
      <c r="A42"/>
      <c r="B42"/>
      <c r="C42"/>
      <c r="D42"/>
      <c r="E42"/>
      <c r="F42"/>
      <c r="G42"/>
      <c r="H42" s="23"/>
      <c r="I42" s="23"/>
    </row>
    <row r="43" spans="1:10" ht="18.350000000000001">
      <c r="A43"/>
      <c r="B43"/>
      <c r="C43"/>
      <c r="D43"/>
      <c r="E43"/>
      <c r="F43"/>
      <c r="G43"/>
      <c r="H43" s="23"/>
      <c r="I43" s="23"/>
    </row>
    <row r="44" spans="1:10" ht="18.350000000000001">
      <c r="A44" s="474" t="s">
        <v>218</v>
      </c>
      <c r="B44"/>
      <c r="C44"/>
      <c r="D44"/>
      <c r="E44"/>
      <c r="F44"/>
      <c r="G44"/>
      <c r="H44" s="23"/>
      <c r="I44" s="23"/>
    </row>
    <row r="45" spans="1:10" ht="18.350000000000001">
      <c r="A45" s="474" t="s">
        <v>196</v>
      </c>
      <c r="B45"/>
      <c r="C45"/>
      <c r="D45"/>
      <c r="E45"/>
      <c r="F45"/>
      <c r="G45"/>
      <c r="H45" s="77"/>
      <c r="I45"/>
    </row>
    <row r="46" spans="1:10">
      <c r="A46"/>
      <c r="B46"/>
      <c r="C46"/>
      <c r="D46"/>
      <c r="E46"/>
      <c r="F46"/>
      <c r="G46" s="428"/>
      <c r="H46"/>
      <c r="I46"/>
    </row>
    <row r="47" spans="1:10">
      <c r="A47"/>
      <c r="B47"/>
      <c r="C47"/>
      <c r="D47"/>
      <c r="E47"/>
      <c r="F47"/>
      <c r="G47"/>
      <c r="H47"/>
      <c r="I47"/>
    </row>
    <row r="48" spans="1:10">
      <c r="A48"/>
      <c r="B48"/>
      <c r="C48"/>
      <c r="D48"/>
      <c r="E48"/>
      <c r="F48"/>
      <c r="G48"/>
      <c r="H48"/>
      <c r="I48"/>
    </row>
    <row r="49" spans="1:9">
      <c r="A49"/>
      <c r="B49"/>
      <c r="C49"/>
      <c r="D49"/>
      <c r="E49"/>
      <c r="F49"/>
      <c r="G49"/>
      <c r="H49"/>
      <c r="I49"/>
    </row>
    <row r="50" spans="1:9">
      <c r="A50"/>
      <c r="B50"/>
      <c r="C50"/>
      <c r="D50"/>
      <c r="E50"/>
      <c r="F50"/>
      <c r="G50"/>
      <c r="H50"/>
      <c r="I50"/>
    </row>
    <row r="51" spans="1:9">
      <c r="A51"/>
      <c r="B51"/>
      <c r="C51"/>
      <c r="D51"/>
      <c r="E51"/>
      <c r="F51"/>
      <c r="G51"/>
      <c r="H51"/>
      <c r="I51"/>
    </row>
    <row r="52" spans="1:9">
      <c r="A52"/>
      <c r="B52"/>
      <c r="C52"/>
      <c r="D52"/>
      <c r="E52"/>
      <c r="F52"/>
      <c r="G52"/>
      <c r="H52"/>
      <c r="I52"/>
    </row>
    <row r="53" spans="1:9">
      <c r="A53"/>
      <c r="B53"/>
      <c r="C53"/>
      <c r="D53"/>
      <c r="E53"/>
      <c r="F53"/>
      <c r="G53"/>
      <c r="H53"/>
      <c r="I53"/>
    </row>
    <row r="54" spans="1:9">
      <c r="A54"/>
      <c r="B54"/>
      <c r="C54"/>
      <c r="D54"/>
      <c r="E54"/>
      <c r="F54"/>
      <c r="G54"/>
      <c r="H54"/>
      <c r="I54"/>
    </row>
    <row r="55" spans="1:9">
      <c r="A55"/>
      <c r="B55"/>
      <c r="C55"/>
      <c r="D55"/>
      <c r="E55"/>
      <c r="F55"/>
      <c r="G55"/>
      <c r="H55"/>
      <c r="I55"/>
    </row>
    <row r="56" spans="1:9">
      <c r="A56"/>
      <c r="B56"/>
      <c r="C56"/>
      <c r="D56"/>
      <c r="E56"/>
      <c r="F56"/>
      <c r="G56"/>
      <c r="H56"/>
      <c r="I56"/>
    </row>
    <row r="57" spans="1:9">
      <c r="F57"/>
      <c r="G57"/>
      <c r="H57"/>
      <c r="I57"/>
    </row>
    <row r="58" spans="1:9">
      <c r="F58"/>
      <c r="G58"/>
      <c r="H58"/>
      <c r="I58"/>
    </row>
    <row r="59" spans="1:9">
      <c r="H59"/>
      <c r="I59"/>
    </row>
    <row r="60" spans="1:9">
      <c r="H60"/>
      <c r="I60"/>
    </row>
    <row r="61" spans="1:9">
      <c r="H61"/>
      <c r="I61"/>
    </row>
    <row r="62" spans="1:9">
      <c r="H62"/>
      <c r="I62"/>
    </row>
    <row r="63" spans="1:9">
      <c r="H63"/>
      <c r="I63"/>
    </row>
    <row r="64" spans="1:9">
      <c r="H64"/>
      <c r="I64"/>
    </row>
    <row r="65" spans="8:9">
      <c r="H65"/>
      <c r="I65"/>
    </row>
    <row r="66" spans="8:9">
      <c r="H66"/>
      <c r="I66"/>
    </row>
    <row r="67" spans="8:9">
      <c r="H67"/>
      <c r="I67"/>
    </row>
  </sheetData>
  <mergeCells count="4">
    <mergeCell ref="A4:H4"/>
    <mergeCell ref="K8:L8"/>
    <mergeCell ref="B6:D6"/>
    <mergeCell ref="F6:H6"/>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tabColor rgb="FF00B050"/>
    <pageSetUpPr fitToPage="1"/>
  </sheetPr>
  <dimension ref="A1:W45"/>
  <sheetViews>
    <sheetView showGridLines="0" topLeftCell="A7" zoomScaleNormal="100" workbookViewId="0">
      <selection activeCell="V20" sqref="V20"/>
    </sheetView>
  </sheetViews>
  <sheetFormatPr baseColWidth="10" defaultRowHeight="12.9"/>
  <cols>
    <col min="1" max="1" width="24" customWidth="1"/>
    <col min="2" max="8" width="12.75" hidden="1" customWidth="1"/>
    <col min="9" max="13" width="18.75" hidden="1" customWidth="1"/>
    <col min="14" max="23" width="14.75" customWidth="1"/>
  </cols>
  <sheetData>
    <row r="1" spans="1:23" ht="17.350000000000001" customHeight="1">
      <c r="A1" s="52"/>
      <c r="B1" s="53"/>
      <c r="C1" s="53"/>
      <c r="D1" s="53"/>
    </row>
    <row r="2" spans="1:23" ht="17.350000000000001" customHeight="1">
      <c r="A2" s="52"/>
      <c r="B2" s="53"/>
      <c r="C2" s="53"/>
      <c r="D2" s="53"/>
    </row>
    <row r="3" spans="1:23" ht="17.350000000000001" customHeight="1">
      <c r="A3" s="54"/>
      <c r="B3" s="53"/>
      <c r="C3" s="53"/>
      <c r="D3" s="53"/>
    </row>
    <row r="4" spans="1:23" ht="20.399999999999999">
      <c r="A4" s="597" t="s">
        <v>146</v>
      </c>
      <c r="B4" s="597"/>
      <c r="C4" s="597"/>
      <c r="D4" s="597"/>
      <c r="E4" s="597"/>
      <c r="F4" s="597"/>
      <c r="G4" s="597"/>
      <c r="H4" s="597"/>
      <c r="I4" s="597"/>
      <c r="J4" s="597"/>
      <c r="K4" s="597"/>
      <c r="L4" s="597"/>
      <c r="M4" s="597"/>
      <c r="N4" s="597"/>
      <c r="O4" s="597"/>
      <c r="P4" s="597"/>
      <c r="Q4" s="597"/>
      <c r="R4" s="597"/>
      <c r="S4" s="597"/>
      <c r="T4" s="597"/>
      <c r="U4" s="597"/>
      <c r="V4" s="597"/>
      <c r="W4" s="597"/>
    </row>
    <row r="5" spans="1:23" ht="14.95" customHeight="1">
      <c r="A5" s="122"/>
      <c r="B5" s="122"/>
      <c r="C5" s="122"/>
      <c r="D5" s="122"/>
      <c r="E5" s="122"/>
      <c r="F5" s="122"/>
      <c r="G5" s="122"/>
      <c r="H5" s="122"/>
      <c r="I5" s="122"/>
    </row>
    <row r="6" spans="1:23" ht="14.95" customHeight="1">
      <c r="A6" s="490" t="s">
        <v>199</v>
      </c>
      <c r="B6" s="56"/>
      <c r="C6" s="56"/>
      <c r="D6" s="56"/>
      <c r="F6" s="57"/>
      <c r="G6" s="57"/>
      <c r="H6" s="57"/>
      <c r="I6" s="57"/>
    </row>
    <row r="7" spans="1:23" ht="17.350000000000001" customHeight="1">
      <c r="A7" s="158" t="s">
        <v>142</v>
      </c>
      <c r="B7" s="80">
        <v>1999</v>
      </c>
      <c r="C7" s="80">
        <v>2000</v>
      </c>
      <c r="D7" s="80">
        <v>2001</v>
      </c>
      <c r="E7" s="165">
        <v>2002</v>
      </c>
      <c r="F7" s="165">
        <v>2003</v>
      </c>
      <c r="G7" s="165">
        <v>2004</v>
      </c>
      <c r="H7" s="165">
        <v>2005</v>
      </c>
      <c r="I7" s="165">
        <v>2006</v>
      </c>
      <c r="J7" s="165">
        <v>2007</v>
      </c>
      <c r="K7" s="165">
        <v>2008</v>
      </c>
      <c r="L7" s="165">
        <v>2009</v>
      </c>
      <c r="M7" s="165">
        <v>2010</v>
      </c>
      <c r="N7" s="165">
        <v>2012</v>
      </c>
      <c r="O7" s="165">
        <v>2013</v>
      </c>
      <c r="P7" s="165">
        <v>2014</v>
      </c>
      <c r="Q7" s="165">
        <v>2015</v>
      </c>
      <c r="R7" s="165">
        <v>2016</v>
      </c>
      <c r="S7" s="165">
        <v>2017</v>
      </c>
      <c r="T7" s="165">
        <v>2018</v>
      </c>
      <c r="U7" s="165">
        <v>2019</v>
      </c>
      <c r="V7" s="165">
        <v>2020</v>
      </c>
      <c r="W7" s="165">
        <v>2021</v>
      </c>
    </row>
    <row r="8" spans="1:23" ht="5.95" customHeight="1" thickBot="1">
      <c r="A8" s="89"/>
      <c r="B8" s="249"/>
      <c r="C8" s="249"/>
      <c r="D8" s="249"/>
      <c r="E8" s="249"/>
      <c r="F8" s="250"/>
      <c r="G8" s="250"/>
      <c r="H8" s="250"/>
      <c r="I8" s="248"/>
      <c r="J8" s="248"/>
      <c r="K8" s="248"/>
      <c r="L8" s="157"/>
      <c r="M8" s="157"/>
    </row>
    <row r="9" spans="1:23" ht="5.95" customHeight="1" thickTop="1">
      <c r="A9" s="15"/>
      <c r="B9" s="26"/>
      <c r="C9" s="26"/>
      <c r="D9" s="26"/>
      <c r="E9" s="26"/>
      <c r="F9" s="251"/>
      <c r="G9" s="251"/>
      <c r="H9" s="251"/>
      <c r="I9" s="165"/>
      <c r="J9" s="165"/>
      <c r="N9" s="189"/>
      <c r="O9" s="189"/>
      <c r="P9" s="189"/>
      <c r="Q9" s="189"/>
      <c r="R9" s="189"/>
      <c r="S9" s="189"/>
      <c r="T9" s="189"/>
      <c r="U9" s="189"/>
      <c r="V9" s="189"/>
      <c r="W9" s="189"/>
    </row>
    <row r="10" spans="1:23" ht="18.350000000000001">
      <c r="A10" s="158">
        <v>1</v>
      </c>
      <c r="B10" s="132">
        <f>'OBLIGAGIONS RECON. CAIB '!B10</f>
        <v>302.3</v>
      </c>
      <c r="C10" s="132">
        <f>'OBLIGAGIONS RECON. CAIB '!C10</f>
        <v>341.04</v>
      </c>
      <c r="D10" s="132">
        <f>'OBLIGAGIONS RECON. CAIB '!D10</f>
        <v>373.26</v>
      </c>
      <c r="E10" s="132">
        <f>'OBLIGAGIONS RECON. CAIB '!E10</f>
        <v>405.58</v>
      </c>
      <c r="F10" s="132">
        <f>'OBLIGAGIONS RECON. CAIB '!F10</f>
        <v>457.76</v>
      </c>
      <c r="G10" s="132">
        <f>'OBLIGAGIONS RECON. CAIB '!G10</f>
        <v>496.87</v>
      </c>
      <c r="H10" s="132">
        <f>'OBLIGAGIONS RECON. CAIB '!H10</f>
        <v>558.59</v>
      </c>
      <c r="I10" s="132">
        <f>'OBLIGAGIONS RECON. CAIB '!I10</f>
        <v>536.16</v>
      </c>
      <c r="J10" s="132">
        <f>'OBLIGAGIONS RECON. CAIB '!J10</f>
        <v>585.14</v>
      </c>
      <c r="K10" s="132">
        <f>'OBLIGAGIONS RECON. CAIB '!K10</f>
        <v>639.54999999999995</v>
      </c>
      <c r="L10" s="132">
        <f>'OBLIGAGIONS RECON. CAIB '!L10</f>
        <v>673.59</v>
      </c>
      <c r="M10" s="132">
        <f>'OBLIGAGIONS RECON. CAIB '!M10</f>
        <v>655.12</v>
      </c>
      <c r="N10" s="132">
        <f>'OBLIGAGIONS RECON. CAIB '!N10</f>
        <v>583.39478061</v>
      </c>
      <c r="O10" s="132">
        <f>'OBLIGAGIONS RECON. CAIB '!O10</f>
        <v>581.98</v>
      </c>
      <c r="P10" s="132">
        <f>'OBLIGAGIONS RECON. CAIB '!P10</f>
        <v>598.77</v>
      </c>
      <c r="Q10" s="132">
        <f>'OBLIGAGIONS RECON. CAIB '!Q10</f>
        <v>626.01</v>
      </c>
      <c r="R10" s="132">
        <f>'OBLIGAGIONS RECON. CAIB '!R10</f>
        <v>649.48</v>
      </c>
      <c r="S10" s="132">
        <f>'OBLIGAGIONS RECON. CAIB '!S10</f>
        <v>689.78</v>
      </c>
      <c r="T10" s="132">
        <f>'OBLIGAGIONS RECON. CAIB '!T10</f>
        <v>731.19</v>
      </c>
      <c r="U10" s="132">
        <f>'OBLIGAGIONS RECON. CAIB '!U10</f>
        <v>781.71</v>
      </c>
      <c r="V10" s="132">
        <f>'OBLIGAGIONS RECON. CAIB '!V10</f>
        <v>812.66</v>
      </c>
      <c r="W10" s="132">
        <f>'OBLIGAGIONS RECON. CAIB '!W10</f>
        <v>850.77</v>
      </c>
    </row>
    <row r="11" spans="1:23" ht="18.350000000000001">
      <c r="A11" s="158">
        <v>2</v>
      </c>
      <c r="B11" s="132">
        <f>'OBLIGAGIONS RECON. CAIB '!B11</f>
        <v>56.4</v>
      </c>
      <c r="C11" s="132">
        <f>'OBLIGAGIONS RECON. CAIB '!C11</f>
        <v>61.17</v>
      </c>
      <c r="D11" s="132">
        <f>'OBLIGAGIONS RECON. CAIB '!D11</f>
        <v>59.02</v>
      </c>
      <c r="E11" s="132">
        <f>'OBLIGAGIONS RECON. CAIB '!E11</f>
        <v>63.02</v>
      </c>
      <c r="F11" s="132">
        <f>'OBLIGAGIONS RECON. CAIB '!F11</f>
        <v>78.150000000000006</v>
      </c>
      <c r="G11" s="132">
        <f>'OBLIGAGIONS RECON. CAIB '!G11</f>
        <v>65.06</v>
      </c>
      <c r="H11" s="132">
        <f>'OBLIGAGIONS RECON. CAIB '!H11</f>
        <v>79.930000000000007</v>
      </c>
      <c r="I11" s="132">
        <f>'OBLIGAGIONS RECON. CAIB '!I11</f>
        <v>94.77</v>
      </c>
      <c r="J11" s="132">
        <f>'OBLIGAGIONS RECON. CAIB '!J11</f>
        <v>104.55</v>
      </c>
      <c r="K11" s="132">
        <f>'OBLIGAGIONS RECON. CAIB '!K11</f>
        <v>101.79</v>
      </c>
      <c r="L11" s="132">
        <f>'OBLIGAGIONS RECON. CAIB '!L11</f>
        <v>98.99</v>
      </c>
      <c r="M11" s="132">
        <f>'OBLIGAGIONS RECON. CAIB '!M11</f>
        <v>92.6</v>
      </c>
      <c r="N11" s="132">
        <f>'OBLIGAGIONS RECON. CAIB '!N11</f>
        <v>78.286080870000006</v>
      </c>
      <c r="O11" s="132">
        <f>'OBLIGAGIONS RECON. CAIB '!O11</f>
        <v>74.150000000000006</v>
      </c>
      <c r="P11" s="132">
        <f>'OBLIGAGIONS RECON. CAIB '!P11</f>
        <v>75.540000000000006</v>
      </c>
      <c r="Q11" s="132">
        <f>'OBLIGAGIONS RECON. CAIB '!Q11</f>
        <v>78.52</v>
      </c>
      <c r="R11" s="132">
        <f>'OBLIGAGIONS RECON. CAIB '!R11</f>
        <v>79.55</v>
      </c>
      <c r="S11" s="132">
        <f>'OBLIGAGIONS RECON. CAIB '!S11</f>
        <v>90.06</v>
      </c>
      <c r="T11" s="132">
        <f>'OBLIGAGIONS RECON. CAIB '!T11</f>
        <v>104.72</v>
      </c>
      <c r="U11" s="132">
        <f>'OBLIGAGIONS RECON. CAIB '!U11</f>
        <v>116.76</v>
      </c>
      <c r="V11" s="132">
        <f>'OBLIGAGIONS RECON. CAIB '!V11</f>
        <v>118.54</v>
      </c>
      <c r="W11" s="132">
        <f>'OBLIGAGIONS RECON. CAIB '!W11</f>
        <v>137.31</v>
      </c>
    </row>
    <row r="12" spans="1:23" ht="18.350000000000001">
      <c r="A12" s="158">
        <v>4</v>
      </c>
      <c r="B12" s="132">
        <f>'OBLIGAGIONS RECON. CAIB '!B13</f>
        <v>171.41</v>
      </c>
      <c r="C12" s="132">
        <f>'OBLIGAGIONS RECON. CAIB '!C13</f>
        <v>215.79</v>
      </c>
      <c r="D12" s="132">
        <f>'OBLIGAGIONS RECON. CAIB '!D13</f>
        <v>248.8</v>
      </c>
      <c r="E12" s="132">
        <f>'OBLIGAGIONS RECON. CAIB '!E13</f>
        <v>1041.51</v>
      </c>
      <c r="F12" s="132">
        <f>'OBLIGAGIONS RECON. CAIB '!F13</f>
        <v>1133.8699999999999</v>
      </c>
      <c r="G12" s="132">
        <f>'OBLIGAGIONS RECON. CAIB '!G13</f>
        <v>1185.1600000000001</v>
      </c>
      <c r="H12" s="132">
        <f>'OBLIGAGIONS RECON. CAIB '!H13</f>
        <v>1690.74</v>
      </c>
      <c r="I12" s="132">
        <f>'OBLIGAGIONS RECON. CAIB '!I13</f>
        <v>1706.6</v>
      </c>
      <c r="J12" s="132">
        <f>'OBLIGAGIONS RECON. CAIB '!J13</f>
        <v>1930.86</v>
      </c>
      <c r="K12" s="132">
        <f>'OBLIGAGIONS RECON. CAIB '!K13</f>
        <v>2105.65</v>
      </c>
      <c r="L12" s="132">
        <f>'OBLIGAGIONS RECON. CAIB '!L13</f>
        <v>2261.58</v>
      </c>
      <c r="M12" s="132">
        <f>'OBLIGAGIONS RECON. CAIB '!M13</f>
        <v>2290.2800000000002</v>
      </c>
      <c r="N12" s="132">
        <f>'OBLIGAGIONS RECON. CAIB '!N13</f>
        <v>3701.4977252800004</v>
      </c>
      <c r="O12" s="132">
        <f>'OBLIGAGIONS RECON. CAIB '!O13</f>
        <v>1790.59</v>
      </c>
      <c r="P12" s="132">
        <f>'OBLIGAGIONS RECON. CAIB '!P13</f>
        <v>1874.82</v>
      </c>
      <c r="Q12" s="132">
        <f>'OBLIGAGIONS RECON. CAIB '!Q13</f>
        <v>2061.52</v>
      </c>
      <c r="R12" s="132">
        <f>'OBLIGAGIONS RECON. CAIB '!R13</f>
        <v>2193.63</v>
      </c>
      <c r="S12" s="132">
        <f>'OBLIGAGIONS RECON. CAIB '!S13</f>
        <v>2410.5700000000002</v>
      </c>
      <c r="T12" s="132">
        <f>'OBLIGAGIONS RECON. CAIB '!T13</f>
        <v>2493.34</v>
      </c>
      <c r="U12" s="132">
        <f>'OBLIGAGIONS RECON. CAIB '!U13</f>
        <v>2765.86</v>
      </c>
      <c r="V12" s="132">
        <f>'OBLIGAGIONS RECON. CAIB '!V13</f>
        <v>3029.83</v>
      </c>
      <c r="W12" s="132">
        <f>'OBLIGAGIONS RECON. CAIB '!W13</f>
        <v>3881.37</v>
      </c>
    </row>
    <row r="13" spans="1:23" ht="5.95" customHeight="1" thickBot="1">
      <c r="A13" s="158"/>
      <c r="B13" s="132"/>
      <c r="C13" s="132"/>
      <c r="D13" s="132"/>
      <c r="E13" s="132"/>
      <c r="F13" s="131"/>
      <c r="G13" s="131"/>
      <c r="H13" s="131"/>
      <c r="I13" s="165"/>
      <c r="J13" s="165"/>
    </row>
    <row r="14" spans="1:23" s="428" customFormat="1" ht="18.7" customHeight="1" thickTop="1" thickBot="1">
      <c r="A14" s="492" t="s">
        <v>143</v>
      </c>
      <c r="B14" s="493">
        <f t="shared" ref="B14:I14" si="0">SUM(B10:B12)</f>
        <v>530.11</v>
      </c>
      <c r="C14" s="493">
        <f t="shared" si="0"/>
        <v>618</v>
      </c>
      <c r="D14" s="493">
        <f t="shared" si="0"/>
        <v>681.07999999999993</v>
      </c>
      <c r="E14" s="493">
        <f t="shared" si="0"/>
        <v>1510.11</v>
      </c>
      <c r="F14" s="493">
        <f t="shared" si="0"/>
        <v>1669.7799999999997</v>
      </c>
      <c r="G14" s="493">
        <f t="shared" si="0"/>
        <v>1747.0900000000001</v>
      </c>
      <c r="H14" s="493">
        <f t="shared" si="0"/>
        <v>2329.2600000000002</v>
      </c>
      <c r="I14" s="493">
        <f t="shared" si="0"/>
        <v>2337.5299999999997</v>
      </c>
      <c r="J14" s="493">
        <f t="shared" ref="J14:M14" si="1">SUM(J10:J12)</f>
        <v>2620.5499999999997</v>
      </c>
      <c r="K14" s="493">
        <f t="shared" si="1"/>
        <v>2846.99</v>
      </c>
      <c r="L14" s="493">
        <f t="shared" si="1"/>
        <v>3034.16</v>
      </c>
      <c r="M14" s="493">
        <f t="shared" si="1"/>
        <v>3038</v>
      </c>
      <c r="N14" s="493">
        <f t="shared" ref="N14:V14" si="2">SUM(N10:N12)</f>
        <v>4363.1785867600001</v>
      </c>
      <c r="O14" s="493">
        <f t="shared" si="2"/>
        <v>2446.7199999999998</v>
      </c>
      <c r="P14" s="493">
        <f t="shared" si="2"/>
        <v>2549.13</v>
      </c>
      <c r="Q14" s="493">
        <f t="shared" si="2"/>
        <v>2766.05</v>
      </c>
      <c r="R14" s="493">
        <f t="shared" si="2"/>
        <v>2922.66</v>
      </c>
      <c r="S14" s="493">
        <f t="shared" si="2"/>
        <v>3190.41</v>
      </c>
      <c r="T14" s="493">
        <f t="shared" si="2"/>
        <v>3329.25</v>
      </c>
      <c r="U14" s="493">
        <f t="shared" si="2"/>
        <v>3664.33</v>
      </c>
      <c r="V14" s="493">
        <f t="shared" si="2"/>
        <v>3961.0299999999997</v>
      </c>
      <c r="W14" s="493">
        <f t="shared" ref="W14" si="3">SUM(W10:W12)</f>
        <v>4869.45</v>
      </c>
    </row>
    <row r="15" spans="1:23" ht="5.95" customHeight="1" thickTop="1">
      <c r="A15" s="159"/>
      <c r="B15" s="132"/>
      <c r="C15" s="132"/>
      <c r="D15" s="132"/>
      <c r="E15" s="132"/>
      <c r="F15" s="131"/>
      <c r="G15" s="131"/>
      <c r="H15" s="131"/>
      <c r="I15" s="165"/>
      <c r="J15" s="165"/>
    </row>
    <row r="16" spans="1:23" ht="18.350000000000001">
      <c r="A16" s="158">
        <v>3</v>
      </c>
      <c r="B16" s="132">
        <f>'OBLIGAGIONS RECON. CAIB '!B12</f>
        <v>16.55</v>
      </c>
      <c r="C16" s="132">
        <f>'OBLIGAGIONS RECON. CAIB '!C12</f>
        <v>16.170000000000002</v>
      </c>
      <c r="D16" s="132">
        <f>'OBLIGAGIONS RECON. CAIB '!D12</f>
        <v>17.72</v>
      </c>
      <c r="E16" s="132">
        <f>'OBLIGAGIONS RECON. CAIB '!E12</f>
        <v>20.52</v>
      </c>
      <c r="F16" s="132">
        <f>'OBLIGAGIONS RECON. CAIB '!F12</f>
        <v>24.23</v>
      </c>
      <c r="G16" s="132">
        <f>'OBLIGAGIONS RECON. CAIB '!G12</f>
        <v>26.9</v>
      </c>
      <c r="H16" s="132">
        <f>'OBLIGAGIONS RECON. CAIB '!H12</f>
        <v>32.44</v>
      </c>
      <c r="I16" s="132">
        <f>'OBLIGAGIONS RECON. CAIB '!I12</f>
        <v>42.24</v>
      </c>
      <c r="J16" s="132">
        <f>'OBLIGAGIONS RECON. CAIB '!J12</f>
        <v>46.33</v>
      </c>
      <c r="K16" s="132">
        <f>'OBLIGAGIONS RECON. CAIB '!K12</f>
        <v>62.69</v>
      </c>
      <c r="L16" s="132">
        <f>'OBLIGAGIONS RECON. CAIB '!L12</f>
        <v>66.16</v>
      </c>
      <c r="M16" s="132">
        <f>'OBLIGAGIONS RECON. CAIB '!M12</f>
        <v>75.73</v>
      </c>
      <c r="N16" s="132">
        <f>'OBLIGAGIONS RECON. CAIB '!N12</f>
        <v>223.77874393000002</v>
      </c>
      <c r="O16" s="132">
        <f>'OBLIGAGIONS RECON. CAIB '!O12</f>
        <v>225.79</v>
      </c>
      <c r="P16" s="132">
        <f>'OBLIGAGIONS RECON. CAIB '!P12</f>
        <v>226.83</v>
      </c>
      <c r="Q16" s="132">
        <f>'OBLIGAGIONS RECON. CAIB '!Q12</f>
        <v>143.96</v>
      </c>
      <c r="R16" s="132">
        <f>'OBLIGAGIONS RECON. CAIB '!R12</f>
        <v>90.72</v>
      </c>
      <c r="S16" s="132">
        <f>'OBLIGAGIONS RECON. CAIB '!S12</f>
        <v>105.4</v>
      </c>
      <c r="T16" s="132">
        <f>'OBLIGAGIONS RECON. CAIB '!T12</f>
        <v>127.08</v>
      </c>
      <c r="U16" s="132">
        <f>'OBLIGAGIONS RECON. CAIB '!U12</f>
        <v>121.44</v>
      </c>
      <c r="V16" s="132">
        <f>'OBLIGAGIONS RECON. CAIB '!V12</f>
        <v>103.86</v>
      </c>
      <c r="W16" s="132">
        <f>'OBLIGAGIONS RECON. CAIB '!W12</f>
        <v>56.01</v>
      </c>
    </row>
    <row r="17" spans="1:23" ht="18.350000000000001">
      <c r="A17" s="158">
        <v>9</v>
      </c>
      <c r="B17" s="132">
        <f>'OBLIGAGIONS RECON. CAIB '!B17</f>
        <v>50.38</v>
      </c>
      <c r="C17" s="132">
        <f>'OBLIGAGIONS RECON. CAIB '!C17</f>
        <v>8.93</v>
      </c>
      <c r="D17" s="132">
        <f>'OBLIGAGIONS RECON. CAIB '!D17</f>
        <v>4.01</v>
      </c>
      <c r="E17" s="132">
        <f>'OBLIGAGIONS RECON. CAIB '!E17</f>
        <v>4.01</v>
      </c>
      <c r="F17" s="132">
        <f>'OBLIGAGIONS RECON. CAIB '!F17</f>
        <v>6.19</v>
      </c>
      <c r="G17" s="132">
        <f>'OBLIGAGIONS RECON. CAIB '!G17</f>
        <v>10.24</v>
      </c>
      <c r="H17" s="132">
        <f>'OBLIGAGIONS RECON. CAIB '!H17</f>
        <v>42.27</v>
      </c>
      <c r="I17" s="132">
        <f>'OBLIGAGIONS RECON. CAIB '!I17</f>
        <v>42.07</v>
      </c>
      <c r="J17" s="132">
        <f>'OBLIGAGIONS RECON. CAIB '!J17</f>
        <v>42.07</v>
      </c>
      <c r="K17" s="132">
        <f>'OBLIGAGIONS RECON. CAIB '!K17</f>
        <v>42.07</v>
      </c>
      <c r="L17" s="132">
        <f>'OBLIGAGIONS RECON. CAIB '!L17</f>
        <v>79.91</v>
      </c>
      <c r="M17" s="132">
        <f>'OBLIGAGIONS RECON. CAIB '!M17</f>
        <v>69.25</v>
      </c>
      <c r="N17" s="132">
        <f>'OBLIGAGIONS RECON. CAIB '!N17</f>
        <v>480.89786333000001</v>
      </c>
      <c r="O17" s="132">
        <f>'OBLIGAGIONS RECON. CAIB '!O17</f>
        <v>485.45</v>
      </c>
      <c r="P17" s="132">
        <f>'OBLIGAGIONS RECON. CAIB '!P17</f>
        <v>675.74</v>
      </c>
      <c r="Q17" s="132">
        <f>'OBLIGAGIONS RECON. CAIB '!Q17</f>
        <v>501.76</v>
      </c>
      <c r="R17" s="132">
        <f>'OBLIGAGIONS RECON. CAIB '!R17</f>
        <v>709.61</v>
      </c>
      <c r="S17" s="132">
        <f>'OBLIGAGIONS RECON. CAIB '!S17</f>
        <v>804.89</v>
      </c>
      <c r="T17" s="132">
        <f>'OBLIGAGIONS RECON. CAIB '!T17</f>
        <v>860.06</v>
      </c>
      <c r="U17" s="132">
        <f>'OBLIGAGIONS RECON. CAIB '!U17</f>
        <v>988.02</v>
      </c>
      <c r="V17" s="132">
        <f>'OBLIGAGIONS RECON. CAIB '!V17</f>
        <v>1475.92</v>
      </c>
      <c r="W17" s="132">
        <f>'OBLIGAGIONS RECON. CAIB '!W17</f>
        <v>1163.99</v>
      </c>
    </row>
    <row r="18" spans="1:23" ht="5.95" customHeight="1" thickBot="1">
      <c r="A18" s="160"/>
      <c r="B18" s="132"/>
      <c r="C18" s="132"/>
      <c r="D18" s="132"/>
      <c r="E18" s="132"/>
      <c r="F18" s="131"/>
      <c r="G18" s="131"/>
      <c r="H18" s="131"/>
      <c r="I18" s="165"/>
      <c r="J18" s="165"/>
    </row>
    <row r="19" spans="1:23" s="428" customFormat="1" ht="18.7" customHeight="1" thickTop="1" thickBot="1">
      <c r="A19" s="494" t="s">
        <v>201</v>
      </c>
      <c r="B19" s="493">
        <f>SUM(B15:B18)</f>
        <v>66.930000000000007</v>
      </c>
      <c r="C19" s="493">
        <f>SUM(C15:C18)</f>
        <v>25.1</v>
      </c>
      <c r="D19" s="493">
        <f>SUM(D15:D17)</f>
        <v>21.729999999999997</v>
      </c>
      <c r="E19" s="493">
        <f t="shared" ref="E19:M19" si="4">SUM(E15:E18)</f>
        <v>24.53</v>
      </c>
      <c r="F19" s="493">
        <f t="shared" si="4"/>
        <v>30.42</v>
      </c>
      <c r="G19" s="493">
        <f t="shared" si="4"/>
        <v>37.14</v>
      </c>
      <c r="H19" s="493">
        <f t="shared" si="4"/>
        <v>74.710000000000008</v>
      </c>
      <c r="I19" s="493">
        <f t="shared" si="4"/>
        <v>84.31</v>
      </c>
      <c r="J19" s="493">
        <f t="shared" si="4"/>
        <v>88.4</v>
      </c>
      <c r="K19" s="493">
        <f t="shared" si="4"/>
        <v>104.75999999999999</v>
      </c>
      <c r="L19" s="493">
        <f t="shared" si="4"/>
        <v>146.07</v>
      </c>
      <c r="M19" s="493">
        <f t="shared" si="4"/>
        <v>144.98000000000002</v>
      </c>
      <c r="N19" s="493">
        <f t="shared" ref="N19:V19" si="5">SUM(N15:N18)</f>
        <v>704.67660726000008</v>
      </c>
      <c r="O19" s="493">
        <f t="shared" si="5"/>
        <v>711.24</v>
      </c>
      <c r="P19" s="493">
        <f t="shared" si="5"/>
        <v>902.57</v>
      </c>
      <c r="Q19" s="493">
        <f t="shared" si="5"/>
        <v>645.72</v>
      </c>
      <c r="R19" s="493">
        <f t="shared" si="5"/>
        <v>800.33</v>
      </c>
      <c r="S19" s="493">
        <f t="shared" si="5"/>
        <v>910.29</v>
      </c>
      <c r="T19" s="493">
        <f t="shared" si="5"/>
        <v>987.14</v>
      </c>
      <c r="U19" s="493">
        <f t="shared" si="5"/>
        <v>1109.46</v>
      </c>
      <c r="V19" s="493">
        <f t="shared" si="5"/>
        <v>1579.78</v>
      </c>
      <c r="W19" s="493">
        <f t="shared" ref="W19" si="6">SUM(W15:W18)</f>
        <v>1220</v>
      </c>
    </row>
    <row r="20" spans="1:23" s="428" customFormat="1" ht="39.1" customHeight="1" thickTop="1" thickBot="1">
      <c r="A20" s="495" t="s">
        <v>144</v>
      </c>
      <c r="B20" s="496">
        <f t="shared" ref="B20:M20" si="7">B14+B19</f>
        <v>597.04</v>
      </c>
      <c r="C20" s="496">
        <f t="shared" si="7"/>
        <v>643.1</v>
      </c>
      <c r="D20" s="496">
        <f t="shared" si="7"/>
        <v>702.81</v>
      </c>
      <c r="E20" s="496">
        <f t="shared" si="7"/>
        <v>1534.6399999999999</v>
      </c>
      <c r="F20" s="496">
        <f t="shared" si="7"/>
        <v>1700.1999999999998</v>
      </c>
      <c r="G20" s="496">
        <f t="shared" si="7"/>
        <v>1784.2300000000002</v>
      </c>
      <c r="H20" s="496">
        <f t="shared" si="7"/>
        <v>2403.9700000000003</v>
      </c>
      <c r="I20" s="496">
        <f t="shared" si="7"/>
        <v>2421.8399999999997</v>
      </c>
      <c r="J20" s="496">
        <f t="shared" si="7"/>
        <v>2708.95</v>
      </c>
      <c r="K20" s="496">
        <f t="shared" si="7"/>
        <v>2951.75</v>
      </c>
      <c r="L20" s="496">
        <f t="shared" si="7"/>
        <v>3180.23</v>
      </c>
      <c r="M20" s="496">
        <f t="shared" si="7"/>
        <v>3182.98</v>
      </c>
      <c r="N20" s="496">
        <f t="shared" ref="N20:V20" si="8">N14+N19</f>
        <v>5067.8551940200005</v>
      </c>
      <c r="O20" s="496">
        <f t="shared" si="8"/>
        <v>3157.96</v>
      </c>
      <c r="P20" s="496">
        <f t="shared" si="8"/>
        <v>3451.7000000000003</v>
      </c>
      <c r="Q20" s="496">
        <f t="shared" si="8"/>
        <v>3411.7700000000004</v>
      </c>
      <c r="R20" s="496">
        <f t="shared" si="8"/>
        <v>3722.99</v>
      </c>
      <c r="S20" s="496">
        <f t="shared" si="8"/>
        <v>4100.7</v>
      </c>
      <c r="T20" s="496">
        <f t="shared" si="8"/>
        <v>4316.3900000000003</v>
      </c>
      <c r="U20" s="496">
        <f t="shared" si="8"/>
        <v>4773.79</v>
      </c>
      <c r="V20" s="496">
        <f t="shared" si="8"/>
        <v>5540.8099999999995</v>
      </c>
      <c r="W20" s="496">
        <f t="shared" ref="W20" si="9">W14+W19</f>
        <v>6089.45</v>
      </c>
    </row>
    <row r="21" spans="1:23" s="428" customFormat="1" ht="38.25" customHeight="1" thickTop="1" thickBot="1">
      <c r="A21" s="497" t="s">
        <v>145</v>
      </c>
      <c r="B21" s="498">
        <f>B20/'OBLIGAGIONS RECON. CAIB '!B19</f>
        <v>0.67776138040640266</v>
      </c>
      <c r="C21" s="498">
        <f>C20/'OBLIGAGIONS RECON. CAIB '!C19</f>
        <v>0.68242110401324307</v>
      </c>
      <c r="D21" s="498">
        <f>D20/'OBLIGAGIONS RECON. CAIB '!D19</f>
        <v>0.69358531530642453</v>
      </c>
      <c r="E21" s="498">
        <f>E20/'OBLIGAGIONS RECON. CAIB '!E19</f>
        <v>0.77028559955829945</v>
      </c>
      <c r="F21" s="498">
        <f>F20/'OBLIGAGIONS RECON. CAIB '!F19</f>
        <v>0.79631303598443159</v>
      </c>
      <c r="G21" s="498">
        <f>G20/'OBLIGAGIONS RECON. CAIB '!G19</f>
        <v>0.77075566652699257</v>
      </c>
      <c r="H21" s="498">
        <f>H20/'OBLIGAGIONS RECON. CAIB '!H19</f>
        <v>0.8043719028451165</v>
      </c>
      <c r="I21" s="498">
        <f>I20/'OBLIGAGIONS RECON. CAIB '!I19</f>
        <v>0.81894726875553703</v>
      </c>
      <c r="J21" s="498">
        <f>J20/'OBLIGAGIONS RECON. CAIB '!J19</f>
        <v>0.81915138100162666</v>
      </c>
      <c r="K21" s="498">
        <f>K20/'OBLIGAGIONS RECON. CAIB '!K19</f>
        <v>0.81187718492398997</v>
      </c>
      <c r="L21" s="498">
        <f>L20/'OBLIGAGIONS RECON. CAIB '!L19</f>
        <v>0.80216467905644029</v>
      </c>
      <c r="M21" s="498">
        <f>M20/'OBLIGAGIONS RECON. CAIB '!M19</f>
        <v>0.82343080214512443</v>
      </c>
      <c r="N21" s="498">
        <f>N20/'OBLIGAGIONS RECON. CAIB '!N19</f>
        <v>0.90041988624682912</v>
      </c>
      <c r="O21" s="498">
        <f>O20/'OBLIGAGIONS RECON. CAIB '!O19</f>
        <v>0.88213144427808454</v>
      </c>
      <c r="P21" s="498">
        <f>P20/'OBLIGAGIONS RECON. CAIB '!P19</f>
        <v>0.8244873975272784</v>
      </c>
      <c r="Q21" s="498">
        <f>Q20/'OBLIGAGIONS RECON. CAIB '!Q19</f>
        <v>0.85329234986344404</v>
      </c>
      <c r="R21" s="498">
        <f>R20/'OBLIGAGIONS RECON. CAIB '!R19</f>
        <v>0.86435027291068345</v>
      </c>
      <c r="S21" s="498">
        <f>S20/'OBLIGAGIONS RECON. CAIB '!S19</f>
        <v>0.87287193961608689</v>
      </c>
      <c r="T21" s="498">
        <f>T20/'OBLIGAGIONS RECON. CAIB '!T19</f>
        <v>0.85959549290838055</v>
      </c>
      <c r="U21" s="498">
        <f>U20/'OBLIGAGIONS RECON. CAIB '!U19</f>
        <v>0.87920282594922716</v>
      </c>
      <c r="V21" s="498">
        <f>V20/'OBLIGAGIONS RECON. CAIB '!V19</f>
        <v>0.90151640877955108</v>
      </c>
      <c r="W21" s="498">
        <f>W20/'OBLIGAGIONS RECON. CAIB '!W19</f>
        <v>0.90805723812335781</v>
      </c>
    </row>
    <row r="22" spans="1:23" ht="13.6" thickTop="1">
      <c r="A22" s="4"/>
      <c r="B22" s="48"/>
      <c r="C22" s="48"/>
      <c r="D22" s="48"/>
      <c r="E22" s="4"/>
      <c r="F22" s="38"/>
      <c r="G22" s="35"/>
      <c r="H22" s="35"/>
      <c r="I22" s="35"/>
    </row>
    <row r="23" spans="1:23">
      <c r="A23" s="25"/>
      <c r="F23" s="35"/>
      <c r="G23" s="35"/>
      <c r="H23" s="35"/>
      <c r="I23" s="35"/>
    </row>
    <row r="24" spans="1:23">
      <c r="B24">
        <v>2013</v>
      </c>
      <c r="D24">
        <v>3775.53</v>
      </c>
      <c r="E24">
        <v>3988.22</v>
      </c>
      <c r="F24" s="35">
        <f>E24/D24*100</f>
        <v>105.63338127362249</v>
      </c>
    </row>
    <row r="40" spans="1:21" s="560" customFormat="1" ht="14.3">
      <c r="A40" s="559" t="s">
        <v>193</v>
      </c>
    </row>
    <row r="41" spans="1:21" s="560" customFormat="1" ht="15.8" customHeight="1">
      <c r="A41" s="561" t="s">
        <v>202</v>
      </c>
      <c r="B41" s="561"/>
      <c r="C41" s="561"/>
      <c r="D41" s="561"/>
      <c r="E41" s="561"/>
      <c r="F41" s="561"/>
      <c r="G41" s="561"/>
      <c r="H41" s="561"/>
      <c r="I41" s="561"/>
      <c r="J41" s="561"/>
      <c r="K41" s="561"/>
      <c r="L41" s="561"/>
      <c r="M41" s="561"/>
      <c r="N41" s="561"/>
      <c r="O41" s="561"/>
      <c r="P41" s="561"/>
      <c r="Q41" s="561"/>
      <c r="R41" s="561"/>
      <c r="S41" s="561"/>
      <c r="T41" s="561"/>
      <c r="U41" s="561"/>
    </row>
    <row r="42" spans="1:21" s="560" customFormat="1" ht="14.3">
      <c r="A42" s="596" t="s">
        <v>195</v>
      </c>
      <c r="B42" s="596"/>
      <c r="C42" s="596"/>
      <c r="D42" s="596"/>
      <c r="E42" s="596"/>
      <c r="F42" s="596"/>
      <c r="G42" s="596"/>
      <c r="H42" s="596"/>
      <c r="I42" s="596"/>
      <c r="J42" s="596"/>
      <c r="K42" s="596"/>
      <c r="L42" s="596"/>
      <c r="M42" s="596"/>
      <c r="N42" s="596"/>
      <c r="O42" s="596"/>
      <c r="P42" s="596"/>
      <c r="Q42" s="596"/>
      <c r="R42" s="596"/>
      <c r="S42" s="596"/>
      <c r="T42" s="596"/>
      <c r="U42" s="596"/>
    </row>
    <row r="43" spans="1:21" s="560" customFormat="1" ht="14.3">
      <c r="A43" s="561" t="s">
        <v>226</v>
      </c>
      <c r="B43" s="561"/>
      <c r="C43" s="561"/>
      <c r="D43" s="561"/>
      <c r="E43" s="561"/>
      <c r="F43" s="561"/>
      <c r="G43" s="561"/>
      <c r="H43" s="561"/>
      <c r="I43" s="561"/>
      <c r="J43" s="561"/>
      <c r="K43" s="561"/>
      <c r="L43" s="561"/>
      <c r="M43" s="561"/>
      <c r="N43" s="561"/>
      <c r="O43" s="561"/>
      <c r="P43" s="561"/>
      <c r="Q43" s="561"/>
      <c r="R43" s="561"/>
      <c r="S43" s="561"/>
      <c r="T43" s="561"/>
      <c r="U43" s="561"/>
    </row>
    <row r="44" spans="1:21" s="560" customFormat="1" ht="12.1" customHeight="1">
      <c r="A44" s="562" t="s">
        <v>222</v>
      </c>
      <c r="B44" s="561"/>
      <c r="C44" s="561"/>
      <c r="D44" s="561"/>
      <c r="E44" s="561"/>
      <c r="F44" s="561"/>
      <c r="G44" s="561"/>
      <c r="H44" s="561"/>
      <c r="I44" s="561"/>
      <c r="J44" s="561"/>
      <c r="K44" s="561"/>
      <c r="L44" s="561"/>
      <c r="M44" s="561"/>
      <c r="N44" s="561"/>
      <c r="O44" s="561"/>
      <c r="P44" s="561"/>
      <c r="Q44" s="561"/>
      <c r="R44" s="561"/>
      <c r="S44" s="561"/>
      <c r="T44" s="561"/>
      <c r="U44" s="561"/>
    </row>
    <row r="45" spans="1:21">
      <c r="Q45" s="428"/>
      <c r="R45" s="428"/>
    </row>
  </sheetData>
  <mergeCells count="2">
    <mergeCell ref="A42:U42"/>
    <mergeCell ref="A4:W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tabColor rgb="FF00B050"/>
    <pageSetUpPr fitToPage="1"/>
  </sheetPr>
  <dimension ref="A1:W43"/>
  <sheetViews>
    <sheetView showGridLines="0" topLeftCell="A10" zoomScaleNormal="100" zoomScalePageLayoutView="75" workbookViewId="0">
      <selection activeCell="V13" sqref="V13"/>
    </sheetView>
  </sheetViews>
  <sheetFormatPr baseColWidth="10" defaultRowHeight="12.9"/>
  <cols>
    <col min="1" max="1" width="31" customWidth="1"/>
    <col min="2" max="8" width="12.75" hidden="1" customWidth="1"/>
    <col min="9" max="13" width="13.75" hidden="1" customWidth="1"/>
    <col min="14" max="20" width="13.75" customWidth="1"/>
    <col min="21" max="23" width="13.625" customWidth="1"/>
  </cols>
  <sheetData>
    <row r="1" spans="1:23" ht="18" customHeight="1">
      <c r="A1" s="52"/>
      <c r="B1" s="53"/>
      <c r="C1" s="53"/>
    </row>
    <row r="2" spans="1:23" ht="18" customHeight="1">
      <c r="A2" s="52"/>
      <c r="B2" s="53"/>
      <c r="C2" s="53"/>
    </row>
    <row r="3" spans="1:23" ht="18" customHeight="1">
      <c r="A3" s="54"/>
      <c r="B3" s="53"/>
      <c r="C3" s="53"/>
    </row>
    <row r="4" spans="1:23" ht="20.399999999999999">
      <c r="A4" s="599" t="s">
        <v>203</v>
      </c>
      <c r="B4" s="599"/>
      <c r="C4" s="599"/>
      <c r="D4" s="599"/>
      <c r="E4" s="599"/>
      <c r="F4" s="599"/>
      <c r="G4" s="599"/>
      <c r="H4" s="599"/>
      <c r="I4" s="599"/>
      <c r="J4" s="599"/>
      <c r="K4" s="599"/>
      <c r="L4" s="599"/>
      <c r="M4" s="599"/>
      <c r="N4" s="599"/>
      <c r="O4" s="599"/>
      <c r="P4" s="599"/>
      <c r="Q4" s="599"/>
      <c r="R4" s="599"/>
      <c r="S4" s="599"/>
      <c r="T4" s="599"/>
      <c r="U4" s="599"/>
      <c r="V4" s="599"/>
      <c r="W4" s="599"/>
    </row>
    <row r="5" spans="1:23" ht="20.25" customHeight="1">
      <c r="A5" s="161"/>
      <c r="B5" s="161"/>
      <c r="C5" s="161"/>
      <c r="D5" s="161"/>
      <c r="E5" s="161"/>
      <c r="F5" s="161"/>
      <c r="G5" s="161"/>
      <c r="H5" s="161"/>
    </row>
    <row r="6" spans="1:23" ht="15.65">
      <c r="A6" s="55"/>
      <c r="B6" s="56"/>
      <c r="C6" s="56"/>
      <c r="E6" s="57"/>
      <c r="F6" s="57"/>
      <c r="G6" s="57"/>
      <c r="H6" s="57"/>
    </row>
    <row r="7" spans="1:23" ht="18.350000000000001">
      <c r="A7" s="162" t="s">
        <v>199</v>
      </c>
      <c r="B7" s="80">
        <v>1999</v>
      </c>
      <c r="C7" s="80">
        <v>2000</v>
      </c>
      <c r="D7" s="80">
        <v>2001</v>
      </c>
      <c r="E7" s="165">
        <v>2002</v>
      </c>
      <c r="F7" s="165">
        <v>2003</v>
      </c>
      <c r="G7" s="165">
        <v>2004</v>
      </c>
      <c r="H7" s="165">
        <v>2005</v>
      </c>
      <c r="I7" s="165">
        <v>2006</v>
      </c>
      <c r="J7" s="165">
        <v>2007</v>
      </c>
      <c r="K7" s="165">
        <v>2008</v>
      </c>
      <c r="L7" s="165">
        <v>2009</v>
      </c>
      <c r="M7" s="165">
        <v>2010</v>
      </c>
      <c r="N7" s="165">
        <v>2012</v>
      </c>
      <c r="O7" s="165">
        <v>2013</v>
      </c>
      <c r="P7" s="165">
        <v>2014</v>
      </c>
      <c r="Q7" s="165">
        <v>2015</v>
      </c>
      <c r="R7" s="165">
        <v>2016</v>
      </c>
      <c r="S7" s="165">
        <v>2017</v>
      </c>
      <c r="T7" s="165">
        <v>2018</v>
      </c>
      <c r="U7" s="165">
        <v>2019</v>
      </c>
      <c r="V7" s="165">
        <v>2020</v>
      </c>
      <c r="W7" s="165">
        <v>2021</v>
      </c>
    </row>
    <row r="8" spans="1:23" ht="8.35" customHeight="1" thickBot="1">
      <c r="A8" s="163"/>
      <c r="B8" s="81"/>
      <c r="C8" s="81"/>
      <c r="D8" s="81"/>
      <c r="E8" s="81"/>
      <c r="F8" s="86"/>
      <c r="G8" s="86"/>
      <c r="H8" s="86"/>
      <c r="I8" s="248"/>
      <c r="J8" s="248"/>
      <c r="K8" s="248"/>
      <c r="L8" s="157"/>
      <c r="M8" s="157"/>
      <c r="N8" s="157"/>
      <c r="O8" s="157"/>
      <c r="P8" s="157"/>
      <c r="Q8" s="157"/>
      <c r="R8" s="157"/>
      <c r="S8" s="157"/>
      <c r="T8" s="157"/>
      <c r="U8" s="157"/>
      <c r="V8" s="157"/>
      <c r="W8" s="157"/>
    </row>
    <row r="9" spans="1:23" ht="8.35" customHeight="1" thickTop="1">
      <c r="A9" s="164"/>
      <c r="B9" s="83"/>
      <c r="C9" s="83"/>
      <c r="D9" s="83"/>
      <c r="E9" s="83"/>
      <c r="F9" s="90"/>
      <c r="G9" s="90"/>
      <c r="H9" s="90"/>
    </row>
    <row r="10" spans="1:23" ht="32.950000000000003" customHeight="1">
      <c r="A10" s="563" t="s">
        <v>144</v>
      </c>
      <c r="B10" s="166">
        <f>'DESPESA OBLIGATORIA CAIB'!B20</f>
        <v>597.04</v>
      </c>
      <c r="C10" s="166">
        <f>'DESPESA OBLIGATORIA CAIB'!C20</f>
        <v>643.1</v>
      </c>
      <c r="D10" s="166">
        <f>'DESPESA OBLIGATORIA CAIB'!D20</f>
        <v>702.81</v>
      </c>
      <c r="E10" s="166">
        <f>'DESPESA OBLIGATORIA CAIB'!E20</f>
        <v>1534.6399999999999</v>
      </c>
      <c r="F10" s="166">
        <f>'DESPESA OBLIGATORIA CAIB'!F20</f>
        <v>1700.1999999999998</v>
      </c>
      <c r="G10" s="166">
        <f>'DESPESA OBLIGATORIA CAIB'!G20</f>
        <v>1784.2300000000002</v>
      </c>
      <c r="H10" s="166">
        <f>'DESPESA OBLIGATORIA CAIB'!H20</f>
        <v>2403.9700000000003</v>
      </c>
      <c r="I10" s="166">
        <f>'DESPESA OBLIGATORIA CAIB'!I20</f>
        <v>2421.8399999999997</v>
      </c>
      <c r="J10" s="166">
        <f>'DESPESA OBLIGATORIA CAIB'!J20</f>
        <v>2708.95</v>
      </c>
      <c r="K10" s="166">
        <f>'DESPESA OBLIGATORIA CAIB'!K20</f>
        <v>2951.75</v>
      </c>
      <c r="L10" s="166">
        <f>'DESPESA OBLIGATORIA CAIB'!L20</f>
        <v>3180.23</v>
      </c>
      <c r="M10" s="166">
        <f>'DESPESA OBLIGATORIA CAIB'!M20</f>
        <v>3182.98</v>
      </c>
      <c r="N10" s="166">
        <f>'DESPESA OBLIGATORIA CAIB'!N20</f>
        <v>5067.8551940200005</v>
      </c>
      <c r="O10" s="166">
        <f>'DESPESA OBLIGATORIA CAIB'!O20</f>
        <v>3157.96</v>
      </c>
      <c r="P10" s="166">
        <f>'DESPESA OBLIGATORIA CAIB'!P20</f>
        <v>3451.7000000000003</v>
      </c>
      <c r="Q10" s="166">
        <f>'DESPESA OBLIGATORIA CAIB'!Q20</f>
        <v>3411.7700000000004</v>
      </c>
      <c r="R10" s="166">
        <f>'DESPESA OBLIGATORIA CAIB'!R20</f>
        <v>3722.99</v>
      </c>
      <c r="S10" s="166">
        <f>'DESPESA OBLIGATORIA CAIB'!S20</f>
        <v>4100.7</v>
      </c>
      <c r="T10" s="166">
        <f>'DESPESA OBLIGATORIA CAIB'!T20</f>
        <v>4316.3900000000003</v>
      </c>
      <c r="U10" s="166">
        <f>'DESPESA OBLIGATORIA CAIB'!U20</f>
        <v>4773.79</v>
      </c>
      <c r="V10" s="166">
        <f>'DESPESA OBLIGATORIA CAIB'!V20</f>
        <v>5540.8099999999995</v>
      </c>
      <c r="W10" s="166">
        <f>'DESPESA OBLIGATORIA CAIB'!W20</f>
        <v>6089.45</v>
      </c>
    </row>
    <row r="11" spans="1:23" s="67" customFormat="1" ht="39.1" customHeight="1">
      <c r="A11" s="170" t="s">
        <v>147</v>
      </c>
      <c r="B11" s="167">
        <f>SUM('OBLIGAGIONS RECON. CAIB '!B14:B16)</f>
        <v>283.85999999999996</v>
      </c>
      <c r="C11" s="167">
        <f>SUM('OBLIGAGIONS RECON. CAIB '!C14:C16)</f>
        <v>299.27999999999997</v>
      </c>
      <c r="D11" s="167">
        <f>SUM('OBLIGAGIONS RECON. CAIB '!D14:D16)</f>
        <v>310.49</v>
      </c>
      <c r="E11" s="167">
        <f>SUM('OBLIGAGIONS RECON. CAIB '!E14:E16)</f>
        <v>457.66</v>
      </c>
      <c r="F11" s="167">
        <f>SUM('OBLIGAGIONS RECON. CAIB '!F14:F16)</f>
        <v>434.89</v>
      </c>
      <c r="G11" s="167">
        <f>SUM('OBLIGAGIONS RECON. CAIB '!G14:G16)</f>
        <v>530.67999999999995</v>
      </c>
      <c r="H11" s="167">
        <f>SUM('OBLIGAGIONS RECON. CAIB '!H14:H16)</f>
        <v>584.66000000000008</v>
      </c>
      <c r="I11" s="167">
        <f>SUM('OBLIGAGIONS RECON. CAIB '!I14:I16)</f>
        <v>535.41999999999996</v>
      </c>
      <c r="J11" s="167">
        <f>SUM('OBLIGAGIONS RECON. CAIB '!J14:J16)</f>
        <v>598.06999999999994</v>
      </c>
      <c r="K11" s="167">
        <f>SUM('OBLIGAGIONS RECON. CAIB '!K14:K16)</f>
        <v>683.96</v>
      </c>
      <c r="L11" s="167">
        <f>SUM('OBLIGAGIONS RECON. CAIB '!L14:L16)</f>
        <v>784.33</v>
      </c>
      <c r="M11" s="167">
        <f>SUM('OBLIGAGIONS RECON. CAIB '!M14:M16)</f>
        <v>682.53000000000009</v>
      </c>
      <c r="N11" s="167">
        <f>SUM('OBLIGAGIONS RECON. CAIB '!N14:N16)</f>
        <v>560.46918155999992</v>
      </c>
      <c r="O11" s="167">
        <f>SUM('OBLIGAGIONS RECON. CAIB '!O14:O16)</f>
        <v>421.96000000000004</v>
      </c>
      <c r="P11" s="167">
        <f>SUM('OBLIGAGIONS RECON. CAIB '!P14:P16)</f>
        <v>734.78</v>
      </c>
      <c r="Q11" s="167">
        <f>SUM('OBLIGAGIONS RECON. CAIB '!Q14:Q16)</f>
        <v>586.59</v>
      </c>
      <c r="R11" s="167">
        <f>SUM('OBLIGAGIONS RECON. CAIB '!R14:R16)</f>
        <v>584.28</v>
      </c>
      <c r="S11" s="167">
        <f>SUM('OBLIGAGIONS RECON. CAIB '!S14:S16)</f>
        <v>597.24</v>
      </c>
      <c r="T11" s="167">
        <f>SUM('OBLIGAGIONS RECON. CAIB '!T14:T16)</f>
        <v>705.03000000000009</v>
      </c>
      <c r="U11" s="167">
        <f>SUM('OBLIGAGIONS RECON. CAIB '!U14:U16)</f>
        <v>655.8900000000001</v>
      </c>
      <c r="V11" s="167">
        <f>SUM('OBLIGAGIONS RECON. CAIB '!V14:V16)</f>
        <v>605.29000000000008</v>
      </c>
      <c r="W11" s="167">
        <f>SUM('OBLIGAGIONS RECON. CAIB '!W14:W16)</f>
        <v>616.57000000000005</v>
      </c>
    </row>
    <row r="12" spans="1:23" ht="8.35" customHeight="1" thickBot="1">
      <c r="A12" s="169"/>
      <c r="B12" s="168"/>
      <c r="C12" s="168"/>
      <c r="D12" s="168"/>
      <c r="E12" s="168"/>
      <c r="F12" s="168"/>
      <c r="G12" s="135"/>
      <c r="H12" s="135"/>
      <c r="I12" s="165"/>
      <c r="J12" s="165"/>
    </row>
    <row r="13" spans="1:23" ht="27" customHeight="1" thickTop="1" thickBot="1">
      <c r="A13" s="209" t="s">
        <v>4</v>
      </c>
      <c r="B13" s="210">
        <f t="shared" ref="B13:M13" si="0">SUM(B10:B12)</f>
        <v>880.89999999999986</v>
      </c>
      <c r="C13" s="210">
        <f t="shared" si="0"/>
        <v>942.38</v>
      </c>
      <c r="D13" s="210">
        <f t="shared" si="0"/>
        <v>1013.3</v>
      </c>
      <c r="E13" s="210">
        <f t="shared" si="0"/>
        <v>1992.3</v>
      </c>
      <c r="F13" s="210">
        <f t="shared" si="0"/>
        <v>2135.0899999999997</v>
      </c>
      <c r="G13" s="210">
        <f t="shared" si="0"/>
        <v>2314.9100000000003</v>
      </c>
      <c r="H13" s="210">
        <f t="shared" si="0"/>
        <v>2988.63</v>
      </c>
      <c r="I13" s="210">
        <f t="shared" si="0"/>
        <v>2957.2599999999998</v>
      </c>
      <c r="J13" s="210">
        <f t="shared" si="0"/>
        <v>3307.0199999999995</v>
      </c>
      <c r="K13" s="210">
        <f t="shared" si="0"/>
        <v>3635.71</v>
      </c>
      <c r="L13" s="210">
        <f t="shared" si="0"/>
        <v>3964.56</v>
      </c>
      <c r="M13" s="210">
        <f t="shared" si="0"/>
        <v>3865.51</v>
      </c>
      <c r="N13" s="210">
        <f t="shared" ref="N13" si="1">SUM(N10:N12)</f>
        <v>5628.3243755800004</v>
      </c>
      <c r="O13" s="210">
        <f t="shared" ref="O13:T13" si="2">SUM(O10:O12)</f>
        <v>3579.92</v>
      </c>
      <c r="P13" s="210">
        <f t="shared" si="2"/>
        <v>4186.4800000000005</v>
      </c>
      <c r="Q13" s="210">
        <f t="shared" si="2"/>
        <v>3998.3600000000006</v>
      </c>
      <c r="R13" s="210">
        <f t="shared" si="2"/>
        <v>4307.2699999999995</v>
      </c>
      <c r="S13" s="210">
        <f t="shared" si="2"/>
        <v>4697.9399999999996</v>
      </c>
      <c r="T13" s="210">
        <f t="shared" si="2"/>
        <v>5021.42</v>
      </c>
      <c r="U13" s="210">
        <f>SUM(U10:U12)</f>
        <v>5429.68</v>
      </c>
      <c r="V13" s="210">
        <f t="shared" ref="V13" si="3">SUM(V10:V12)</f>
        <v>6146.0999999999995</v>
      </c>
      <c r="W13" s="210">
        <f t="shared" ref="W13" si="4">SUM(W10:W12)</f>
        <v>6706.0199999999995</v>
      </c>
    </row>
    <row r="14" spans="1:23" ht="16.3" thickTop="1">
      <c r="A14" s="60"/>
      <c r="B14" s="61"/>
      <c r="C14" s="61"/>
      <c r="D14" s="61"/>
      <c r="E14" s="61"/>
      <c r="F14" s="61"/>
      <c r="G14" s="61"/>
      <c r="H14" s="61"/>
    </row>
    <row r="15" spans="1:23" ht="15.65">
      <c r="A15" s="59"/>
      <c r="B15" s="30"/>
      <c r="C15" s="30"/>
      <c r="D15" s="30"/>
      <c r="E15" s="30"/>
      <c r="F15" s="30"/>
      <c r="G15" s="30"/>
      <c r="H15" s="30"/>
    </row>
    <row r="16" spans="1:23" ht="15.65">
      <c r="A16" s="62"/>
      <c r="B16" s="22"/>
      <c r="C16" s="22"/>
      <c r="D16" s="22"/>
      <c r="E16" s="22"/>
      <c r="F16" s="30"/>
      <c r="G16" s="30"/>
      <c r="H16" s="30"/>
    </row>
    <row r="17" spans="1:8" ht="15.65">
      <c r="A17" s="63"/>
      <c r="B17" s="22"/>
      <c r="C17" s="22"/>
      <c r="D17" s="22"/>
      <c r="E17" s="22"/>
      <c r="F17" s="30"/>
      <c r="G17" s="30"/>
      <c r="H17" s="30"/>
    </row>
    <row r="18" spans="1:8" ht="15.65">
      <c r="A18" s="60"/>
      <c r="B18" s="61"/>
      <c r="C18" s="61"/>
      <c r="D18" s="61"/>
      <c r="E18" s="61"/>
      <c r="F18" s="61"/>
      <c r="G18" s="61"/>
      <c r="H18" s="61"/>
    </row>
    <row r="19" spans="1:8" ht="15.65">
      <c r="A19" s="64"/>
      <c r="B19" s="22"/>
      <c r="C19" s="22"/>
      <c r="D19" s="61"/>
      <c r="E19" s="22"/>
      <c r="F19" s="30"/>
      <c r="G19" s="30"/>
      <c r="H19" s="30"/>
    </row>
    <row r="20" spans="1:8" ht="15.65">
      <c r="A20" s="60"/>
      <c r="B20" s="61"/>
      <c r="C20" s="61"/>
      <c r="D20" s="61"/>
      <c r="E20" s="61"/>
      <c r="F20" s="61"/>
      <c r="G20" s="61"/>
      <c r="H20" s="61"/>
    </row>
    <row r="21" spans="1:8" ht="15.65">
      <c r="A21" s="60"/>
      <c r="B21" s="61"/>
      <c r="C21" s="61"/>
      <c r="D21" s="61"/>
      <c r="E21" s="61"/>
      <c r="F21" s="61"/>
      <c r="G21" s="61"/>
      <c r="H21" s="61"/>
    </row>
    <row r="22" spans="1:8" ht="15.65">
      <c r="A22" s="60"/>
      <c r="B22" s="61">
        <v>2013</v>
      </c>
      <c r="C22" s="65"/>
      <c r="D22" s="61">
        <v>3775.53</v>
      </c>
      <c r="E22" s="61">
        <v>3988.22</v>
      </c>
      <c r="F22" s="61">
        <f>E22/D22*100</f>
        <v>105.63338127362249</v>
      </c>
      <c r="G22" s="65"/>
      <c r="H22" s="65"/>
    </row>
    <row r="23" spans="1:8" s="67" customFormat="1" ht="9.6999999999999993" customHeight="1">
      <c r="A23" s="48"/>
      <c r="B23" s="48"/>
      <c r="C23" s="48"/>
      <c r="D23" s="48"/>
      <c r="E23" s="69"/>
      <c r="F23" s="68"/>
      <c r="G23" s="68"/>
      <c r="H23" s="68"/>
    </row>
    <row r="24" spans="1:8">
      <c r="A24" s="4"/>
      <c r="B24" s="48"/>
      <c r="C24" s="48"/>
      <c r="D24" s="4"/>
      <c r="E24" s="38"/>
      <c r="F24" s="35"/>
      <c r="G24" s="35"/>
      <c r="H24" s="35"/>
    </row>
    <row r="25" spans="1:8">
      <c r="A25" s="25"/>
      <c r="E25" s="35"/>
      <c r="F25" s="35"/>
      <c r="G25" s="35"/>
      <c r="H25" s="35"/>
    </row>
    <row r="38" spans="1:20" ht="15.65">
      <c r="A38" s="247" t="s">
        <v>193</v>
      </c>
    </row>
    <row r="39" spans="1:20" ht="15.8" customHeight="1">
      <c r="A39" s="491" t="s">
        <v>194</v>
      </c>
      <c r="B39" s="491"/>
      <c r="C39" s="491"/>
      <c r="D39" s="491"/>
      <c r="E39" s="491"/>
      <c r="F39" s="491"/>
      <c r="G39" s="491"/>
      <c r="H39" s="491"/>
      <c r="I39" s="491"/>
      <c r="J39" s="491"/>
      <c r="K39" s="491"/>
      <c r="L39" s="491"/>
      <c r="M39" s="491"/>
      <c r="N39" s="491"/>
      <c r="O39" s="491"/>
      <c r="P39" s="491"/>
      <c r="Q39" s="491"/>
      <c r="R39" s="502"/>
      <c r="S39" s="508"/>
      <c r="T39" s="491"/>
    </row>
    <row r="40" spans="1:20" ht="14.95" customHeight="1">
      <c r="A40" s="598" t="s">
        <v>195</v>
      </c>
      <c r="B40" s="598"/>
      <c r="C40" s="598"/>
      <c r="D40" s="598"/>
      <c r="E40" s="598"/>
      <c r="F40" s="598"/>
      <c r="G40" s="598"/>
      <c r="H40" s="598"/>
      <c r="I40" s="598"/>
      <c r="J40" s="598"/>
      <c r="K40" s="598"/>
      <c r="L40" s="598"/>
      <c r="M40" s="598"/>
      <c r="N40" s="598"/>
      <c r="O40" s="598"/>
      <c r="P40" s="598"/>
      <c r="Q40" s="598"/>
      <c r="R40" s="598"/>
      <c r="S40" s="598"/>
      <c r="T40" s="598"/>
    </row>
    <row r="41" spans="1:20" ht="15.65">
      <c r="A41" s="526" t="s">
        <v>226</v>
      </c>
    </row>
    <row r="42" spans="1:20" ht="13.95" customHeight="1">
      <c r="A42" s="41" t="s">
        <v>222</v>
      </c>
    </row>
    <row r="43" spans="1:20">
      <c r="P43" s="428"/>
    </row>
  </sheetData>
  <mergeCells count="2">
    <mergeCell ref="A40:T40"/>
    <mergeCell ref="A4:W4"/>
  </mergeCells>
  <pageMargins left="0.70866141732283472" right="0.51181102362204722" top="0.55118110236220474" bottom="0.55118110236220474" header="0.31496062992125984" footer="0.51181102362204722"/>
  <pageSetup paperSize="9" scale="77" fitToWidth="0" orientation="landscape" horizontalDpi="300" verticalDpi="300" r:id="rId1"/>
  <headerFooter scaleWithDoc="0">
    <oddFooter>&amp;C&amp;8Font: Intervenció General&amp;R&amp;P</oddFooter>
  </headerFooter>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31</vt:i4>
      </vt:variant>
      <vt:variant>
        <vt:lpstr>Rangos con nombre</vt:lpstr>
      </vt:variant>
      <vt:variant>
        <vt:i4>25</vt:i4>
      </vt:variant>
    </vt:vector>
  </HeadingPairs>
  <TitlesOfParts>
    <vt:vector size="56" baseType="lpstr">
      <vt:lpstr>LIQUIDACIO INGRESSOS CAIB</vt:lpstr>
      <vt:lpstr>LIQUIDACIO DESPESES CAIB </vt:lpstr>
      <vt:lpstr>DRETS RECONEGUTS CAIB</vt:lpstr>
      <vt:lpstr>OBLIGAGIONS RECON. CAIB </vt:lpstr>
      <vt:lpstr>DRETS R. CORRENT-CAPITAL CAIB</vt:lpstr>
      <vt:lpstr>OBLIGA.R. CORRENT-CAPITAL CAIB</vt:lpstr>
      <vt:lpstr>INGRESSOS TRIBUTS CEDITS CAIB </vt:lpstr>
      <vt:lpstr>DESPESA OBLIGATORIA CAIB</vt:lpstr>
      <vt:lpstr>DESPESA LLIURE DISPOS CAIB</vt:lpstr>
      <vt:lpstr>ESTALVI BRUT-NET CAIB</vt:lpstr>
      <vt:lpstr>RESULTAT EXERCICI  CAIB</vt:lpstr>
      <vt:lpstr>RESULTAT NO FINANCER CAIB</vt:lpstr>
      <vt:lpstr>ROMANENT TRESORERIA CAIB</vt:lpstr>
      <vt:lpstr>INVERSIONS - ENDEUTAMENT CAIB </vt:lpstr>
      <vt:lpstr>CAPITOL 9 CAIB</vt:lpstr>
      <vt:lpstr>OBLIGACIONS CAPITOL 4 CAIB</vt:lpstr>
      <vt:lpstr>OBLIGACIONS CAPITOL 7 CAIB</vt:lpstr>
      <vt:lpstr>OBLIGACIONS CAPS. 4 -7 CAIB</vt:lpstr>
      <vt:lpstr>TRANSFERENCIES A ENS CAIB</vt:lpstr>
      <vt:lpstr>EVOLUCIO DESPESES INVERSIO CAIB</vt:lpstr>
      <vt:lpstr>COMPROMISOS FUTURS</vt:lpstr>
      <vt:lpstr>DEUTE VIU</vt:lpstr>
      <vt:lpstr>Riesgo efectivo 2001-10 JG</vt:lpstr>
      <vt:lpstr>Ahorro Liquidado 2002-11 </vt:lpstr>
      <vt:lpstr>Liquidado  2002-11</vt:lpstr>
      <vt:lpstr>COBERTURA INVERSIONS</vt:lpstr>
      <vt:lpstr>FINANÇAMENT AUTONOMIC X ANYS</vt:lpstr>
      <vt:lpstr>FINANÇAMENT AUTONOMIC X COBROS</vt:lpstr>
      <vt:lpstr>Datos Tributos Cedidos</vt:lpstr>
      <vt:lpstr>Datos resul Entid CAIB</vt:lpstr>
      <vt:lpstr>Entidades CAIB fondos p</vt:lpstr>
      <vt:lpstr>'Ahorro Liquidado 2002-11 '!Área_de_impresión</vt:lpstr>
      <vt:lpstr>'CAPITOL 9 CAIB'!Área_de_impresión</vt:lpstr>
      <vt:lpstr>'COBERTURA INVERSIONS'!Área_de_impresión</vt:lpstr>
      <vt:lpstr>'COMPROMISOS FUTURS'!Área_de_impresión</vt:lpstr>
      <vt:lpstr>'Datos resul Entid CAIB'!Área_de_impresión</vt:lpstr>
      <vt:lpstr>'Datos Tributos Cedidos'!Área_de_impresión</vt:lpstr>
      <vt:lpstr>'DESPESA LLIURE DISPOS CAIB'!Área_de_impresión</vt:lpstr>
      <vt:lpstr>'DESPESA OBLIGATORIA CAIB'!Área_de_impresión</vt:lpstr>
      <vt:lpstr>'DEUTE VIU'!Área_de_impresión</vt:lpstr>
      <vt:lpstr>'DRETS R. CORRENT-CAPITAL CAIB'!Área_de_impresión</vt:lpstr>
      <vt:lpstr>'DRETS RECONEGUTS CAIB'!Área_de_impresión</vt:lpstr>
      <vt:lpstr>'EVOLUCIO DESPESES INVERSIO CAIB'!Área_de_impresión</vt:lpstr>
      <vt:lpstr>'INGRESSOS TRIBUTS CEDITS CAIB '!Área_de_impresión</vt:lpstr>
      <vt:lpstr>'INVERSIONS - ENDEUTAMENT CAIB '!Área_de_impresión</vt:lpstr>
      <vt:lpstr>'LIQUIDACIO DESPESES CAIB '!Área_de_impresión</vt:lpstr>
      <vt:lpstr>'LIQUIDACIO INGRESSOS CAIB'!Área_de_impresión</vt:lpstr>
      <vt:lpstr>'OBLIGA.R. CORRENT-CAPITAL CAIB'!Área_de_impresión</vt:lpstr>
      <vt:lpstr>'OBLIGACIONS CAPITOL 4 CAIB'!Área_de_impresión</vt:lpstr>
      <vt:lpstr>'OBLIGACIONS CAPITOL 7 CAIB'!Área_de_impresión</vt:lpstr>
      <vt:lpstr>'OBLIGACIONS CAPS. 4 -7 CAIB'!Área_de_impresión</vt:lpstr>
      <vt:lpstr>'OBLIGAGIONS RECON. CAIB '!Área_de_impresión</vt:lpstr>
      <vt:lpstr>'RESULTAT EXERCICI  CAIB'!Área_de_impresión</vt:lpstr>
      <vt:lpstr>'RESULTAT NO FINANCER CAIB'!Área_de_impresión</vt:lpstr>
      <vt:lpstr>'ROMANENT TRESORERIA CAIB'!Área_de_impresión</vt:lpstr>
      <vt:lpstr>'TRANSFERENCIES A ENS CAIB'!Área_de_impresión</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 de les Illes Balears</dc:creator>
  <cp:lastModifiedBy>David Picó García</cp:lastModifiedBy>
  <cp:lastPrinted>2023-05-08T06:41:48Z</cp:lastPrinted>
  <dcterms:created xsi:type="dcterms:W3CDTF">2006-06-01T11:36:12Z</dcterms:created>
  <dcterms:modified xsi:type="dcterms:W3CDTF">2023-05-08T06:42:38Z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cuadros evolución 2015.xlsx</vt:lpwstr>
  </property>
</Properties>
</file>