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drawings/drawing4.xml" ContentType="application/vnd.openxmlformats-officedocument.drawing+xml"/>
  <Override PartName="/xl/charts/chart3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527"/>
  <workbookPr defaultThemeVersion="166925"/>
  <mc:AlternateContent xmlns:mc="http://schemas.openxmlformats.org/markup-compatibility/2006">
    <mc:Choice Requires="x15">
      <x15ac:absPath xmlns:x15ac="http://schemas.microsoft.com/office/spreadsheetml/2010/11/ac" url="\\LOFIGRP4\ces\3er mandat CES\12. CT MEMÒRIA\Memòria del CES\4. Memòria 2020\Material per penjar a la web\"/>
    </mc:Choice>
  </mc:AlternateContent>
  <xr:revisionPtr revIDLastSave="0" documentId="13_ncr:1_{B5ADDB42-FD0E-4553-B2EE-DD2FC990E058}" xr6:coauthVersionLast="47" xr6:coauthVersionMax="47" xr10:uidLastSave="{00000000-0000-0000-0000-000000000000}"/>
  <bookViews>
    <workbookView xWindow="-120" yWindow="-120" windowWidth="21840" windowHeight="13140" xr2:uid="{00000000-000D-0000-FFFF-FFFF00000000}"/>
  </bookViews>
  <sheets>
    <sheet name="Índex de quadres y gràfics" sheetId="1" r:id="rId1"/>
    <sheet name="Q1" sheetId="2" r:id="rId2"/>
    <sheet name="G1" sheetId="3" r:id="rId3"/>
    <sheet name="Q2" sheetId="4" r:id="rId4"/>
    <sheet name="Q3" sheetId="5" r:id="rId5"/>
    <sheet name="Q4" sheetId="6" r:id="rId6"/>
    <sheet name="Q5" sheetId="7" r:id="rId7"/>
    <sheet name="Q6" sheetId="8" r:id="rId8"/>
    <sheet name="Q7" sheetId="9" r:id="rId9"/>
    <sheet name="Q8" sheetId="10" r:id="rId10"/>
    <sheet name="Q9" sheetId="11" r:id="rId11"/>
    <sheet name="Q10" sheetId="12" r:id="rId12"/>
    <sheet name="Q11" sheetId="13" r:id="rId13"/>
    <sheet name="G2" sheetId="14" r:id="rId14"/>
    <sheet name="Q12" sheetId="15" r:id="rId15"/>
    <sheet name="Q13" sheetId="16" r:id="rId16"/>
    <sheet name="G3" sheetId="17" r:id="rId17"/>
    <sheet name="Q14" sheetId="18" r:id="rId18"/>
    <sheet name="Q15" sheetId="19" r:id="rId19"/>
    <sheet name="Q16" sheetId="20" r:id="rId20"/>
    <sheet name="Q17" sheetId="21" r:id="rId21"/>
    <sheet name="QA1" sheetId="22" r:id="rId22"/>
    <sheet name="QA2" sheetId="24" r:id="rId23"/>
    <sheet name="QA3" sheetId="25" r:id="rId24"/>
  </sheets>
  <definedNames>
    <definedName name="_xlnm.Print_Area" localSheetId="11">'Q10'!$A$1:$E$19</definedName>
    <definedName name="_xlnm.Print_Area" localSheetId="7">'Q6'!$A$1:$L$28</definedName>
  </definedNames>
  <calcPr calcId="191029" iterateDelta="1E-4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24" i="25" l="1"/>
  <c r="F24" i="25" s="1"/>
  <c r="E23" i="25"/>
  <c r="F23" i="25" s="1"/>
  <c r="E22" i="25"/>
  <c r="F22" i="25" s="1"/>
  <c r="E21" i="25"/>
  <c r="F21" i="25" s="1"/>
  <c r="D20" i="25"/>
  <c r="E20" i="25" s="1"/>
  <c r="F20" i="25" s="1"/>
  <c r="E19" i="25"/>
  <c r="F19" i="25" s="1"/>
  <c r="E18" i="25"/>
  <c r="F18" i="25" s="1"/>
  <c r="E17" i="25"/>
  <c r="F17" i="25" s="1"/>
  <c r="E16" i="25"/>
  <c r="F16" i="25" s="1"/>
  <c r="D15" i="25"/>
  <c r="D25" i="25" s="1"/>
  <c r="E25" i="25" s="1"/>
  <c r="F25" i="25" s="1"/>
  <c r="E13" i="25"/>
  <c r="E12" i="25"/>
  <c r="F12" i="25" s="1"/>
  <c r="E11" i="25"/>
  <c r="F11" i="25" s="1"/>
  <c r="E10" i="25"/>
  <c r="F10" i="25" s="1"/>
  <c r="D9" i="25"/>
  <c r="D14" i="25" s="1"/>
  <c r="E14" i="25" s="1"/>
  <c r="F14" i="25" s="1"/>
  <c r="E8" i="25"/>
  <c r="F8" i="25" s="1"/>
  <c r="E7" i="25"/>
  <c r="F7" i="25" s="1"/>
  <c r="E6" i="25"/>
  <c r="F6" i="25" s="1"/>
  <c r="E5" i="25"/>
  <c r="F5" i="25" s="1"/>
  <c r="E4" i="25"/>
  <c r="F4" i="25" s="1"/>
  <c r="D3" i="25"/>
  <c r="E3" i="25" s="1"/>
  <c r="F3" i="25" s="1"/>
  <c r="E25" i="24"/>
  <c r="F25" i="24" s="1"/>
  <c r="E24" i="24"/>
  <c r="F24" i="24" s="1"/>
  <c r="E23" i="24"/>
  <c r="F23" i="24" s="1"/>
  <c r="E22" i="24"/>
  <c r="F22" i="24" s="1"/>
  <c r="D21" i="24"/>
  <c r="E20" i="24"/>
  <c r="F20" i="24" s="1"/>
  <c r="E19" i="24"/>
  <c r="F19" i="24" s="1"/>
  <c r="E18" i="24"/>
  <c r="F18" i="24" s="1"/>
  <c r="E17" i="24"/>
  <c r="F17" i="24" s="1"/>
  <c r="E16" i="24"/>
  <c r="F16" i="24" s="1"/>
  <c r="D15" i="24"/>
  <c r="E15" i="24" s="1"/>
  <c r="F15" i="24" s="1"/>
  <c r="E13" i="24"/>
  <c r="E12" i="24"/>
  <c r="F12" i="24" s="1"/>
  <c r="E11" i="24"/>
  <c r="F11" i="24" s="1"/>
  <c r="E10" i="24"/>
  <c r="D9" i="24"/>
  <c r="D14" i="24" s="1"/>
  <c r="E14" i="24" s="1"/>
  <c r="F14" i="24" s="1"/>
  <c r="E8" i="24"/>
  <c r="F8" i="24" s="1"/>
  <c r="E7" i="24"/>
  <c r="F7" i="24" s="1"/>
  <c r="E6" i="24"/>
  <c r="F6" i="24" s="1"/>
  <c r="E5" i="24"/>
  <c r="F5" i="24" s="1"/>
  <c r="E4" i="24"/>
  <c r="F4" i="24" s="1"/>
  <c r="D3" i="24"/>
  <c r="E3" i="24" s="1"/>
  <c r="F3" i="24" s="1"/>
  <c r="E22" i="22"/>
  <c r="F22" i="22" s="1"/>
  <c r="D22" i="22"/>
  <c r="C22" i="22"/>
  <c r="F21" i="22"/>
  <c r="D21" i="22"/>
  <c r="C21" i="22"/>
  <c r="F20" i="22"/>
  <c r="D20" i="22"/>
  <c r="C20" i="22"/>
  <c r="F19" i="22"/>
  <c r="D19" i="22"/>
  <c r="C19" i="22"/>
  <c r="F18" i="22"/>
  <c r="D18" i="22"/>
  <c r="C18" i="22"/>
  <c r="F17" i="22"/>
  <c r="D17" i="22"/>
  <c r="C17" i="22"/>
  <c r="F16" i="22"/>
  <c r="D16" i="22"/>
  <c r="C16" i="22"/>
  <c r="F15" i="22"/>
  <c r="D15" i="22"/>
  <c r="C15" i="22"/>
  <c r="F14" i="22"/>
  <c r="D14" i="22"/>
  <c r="C14" i="22"/>
  <c r="F13" i="22"/>
  <c r="D13" i="22"/>
  <c r="C13" i="22"/>
  <c r="F12" i="22"/>
  <c r="D12" i="22"/>
  <c r="C12" i="22"/>
  <c r="F11" i="22"/>
  <c r="D11" i="22"/>
  <c r="C11" i="22"/>
  <c r="F10" i="22"/>
  <c r="D10" i="22"/>
  <c r="C10" i="22"/>
  <c r="F9" i="22"/>
  <c r="D9" i="22"/>
  <c r="C9" i="22"/>
  <c r="F8" i="22"/>
  <c r="D8" i="22"/>
  <c r="C8" i="22"/>
  <c r="F7" i="22"/>
  <c r="D7" i="22"/>
  <c r="C7" i="22"/>
  <c r="F6" i="22"/>
  <c r="D6" i="22"/>
  <c r="C6" i="22"/>
  <c r="F5" i="22"/>
  <c r="D5" i="22"/>
  <c r="C5" i="22"/>
  <c r="F4" i="22"/>
  <c r="D4" i="22"/>
  <c r="C4" i="22"/>
  <c r="F3" i="22"/>
  <c r="D33" i="21"/>
  <c r="F33" i="21" s="1"/>
  <c r="D32" i="21"/>
  <c r="E32" i="21" s="1"/>
  <c r="D31" i="21"/>
  <c r="F31" i="21" s="1"/>
  <c r="D30" i="21"/>
  <c r="E30" i="21" s="1"/>
  <c r="B29" i="21"/>
  <c r="D29" i="21" s="1"/>
  <c r="F29" i="21" s="1"/>
  <c r="D28" i="21"/>
  <c r="F28" i="21" s="1"/>
  <c r="D27" i="21"/>
  <c r="E27" i="21" s="1"/>
  <c r="D26" i="21"/>
  <c r="F26" i="21" s="1"/>
  <c r="D25" i="21"/>
  <c r="F25" i="21" s="1"/>
  <c r="D24" i="21"/>
  <c r="F24" i="21" s="1"/>
  <c r="D23" i="21"/>
  <c r="E23" i="21" s="1"/>
  <c r="E22" i="21"/>
  <c r="D22" i="21"/>
  <c r="F22" i="21" s="1"/>
  <c r="B21" i="21"/>
  <c r="D21" i="21" s="1"/>
  <c r="F21" i="21" s="1"/>
  <c r="D20" i="21"/>
  <c r="F20" i="21" s="1"/>
  <c r="D19" i="21"/>
  <c r="F19" i="21" s="1"/>
  <c r="D18" i="21"/>
  <c r="E18" i="21" s="1"/>
  <c r="F17" i="21"/>
  <c r="E17" i="21"/>
  <c r="D17" i="21"/>
  <c r="B16" i="21"/>
  <c r="D16" i="21" s="1"/>
  <c r="F16" i="21" s="1"/>
  <c r="D15" i="21"/>
  <c r="F15" i="21" s="1"/>
  <c r="D14" i="21"/>
  <c r="F14" i="21" s="1"/>
  <c r="D13" i="21"/>
  <c r="E13" i="21" s="1"/>
  <c r="D12" i="21"/>
  <c r="E12" i="21" s="1"/>
  <c r="B11" i="21"/>
  <c r="D11" i="21" s="1"/>
  <c r="D10" i="21"/>
  <c r="F10" i="21" s="1"/>
  <c r="D9" i="21"/>
  <c r="F9" i="21" s="1"/>
  <c r="D8" i="21"/>
  <c r="E8" i="21" s="1"/>
  <c r="D7" i="21"/>
  <c r="F7" i="21" s="1"/>
  <c r="D6" i="21"/>
  <c r="F6" i="21" s="1"/>
  <c r="B6" i="21"/>
  <c r="D5" i="21"/>
  <c r="F5" i="21" s="1"/>
  <c r="D4" i="21"/>
  <c r="F4" i="21" s="1"/>
  <c r="C3" i="21"/>
  <c r="E33" i="20"/>
  <c r="F33" i="20" s="1"/>
  <c r="G33" i="20" s="1"/>
  <c r="E32" i="20"/>
  <c r="F32" i="20" s="1"/>
  <c r="G32" i="20" s="1"/>
  <c r="E31" i="20"/>
  <c r="F31" i="20" s="1"/>
  <c r="G31" i="20" s="1"/>
  <c r="E30" i="20"/>
  <c r="F30" i="20" s="1"/>
  <c r="G30" i="20" s="1"/>
  <c r="C29" i="20"/>
  <c r="E29" i="20" s="1"/>
  <c r="F29" i="20" s="1"/>
  <c r="G29" i="20" s="1"/>
  <c r="E28" i="20"/>
  <c r="F28" i="20" s="1"/>
  <c r="G28" i="20" s="1"/>
  <c r="E27" i="20"/>
  <c r="F27" i="20" s="1"/>
  <c r="G27" i="20" s="1"/>
  <c r="E26" i="20"/>
  <c r="F26" i="20" s="1"/>
  <c r="G26" i="20" s="1"/>
  <c r="E25" i="20"/>
  <c r="F25" i="20" s="1"/>
  <c r="G25" i="20" s="1"/>
  <c r="E24" i="20"/>
  <c r="F24" i="20" s="1"/>
  <c r="G24" i="20" s="1"/>
  <c r="E23" i="20"/>
  <c r="F23" i="20" s="1"/>
  <c r="G23" i="20" s="1"/>
  <c r="E22" i="20"/>
  <c r="F22" i="20" s="1"/>
  <c r="G22" i="20" s="1"/>
  <c r="E21" i="20"/>
  <c r="F21" i="20" s="1"/>
  <c r="G21" i="20" s="1"/>
  <c r="C21" i="20"/>
  <c r="E20" i="20"/>
  <c r="F20" i="20" s="1"/>
  <c r="G20" i="20" s="1"/>
  <c r="E19" i="20"/>
  <c r="F19" i="20" s="1"/>
  <c r="G19" i="20" s="1"/>
  <c r="E18" i="20"/>
  <c r="F18" i="20" s="1"/>
  <c r="G18" i="20" s="1"/>
  <c r="E17" i="20"/>
  <c r="F17" i="20" s="1"/>
  <c r="G17" i="20" s="1"/>
  <c r="C16" i="20"/>
  <c r="E16" i="20" s="1"/>
  <c r="F16" i="20" s="1"/>
  <c r="G16" i="20" s="1"/>
  <c r="E15" i="20"/>
  <c r="F15" i="20" s="1"/>
  <c r="G15" i="20" s="1"/>
  <c r="E14" i="20"/>
  <c r="F14" i="20" s="1"/>
  <c r="G14" i="20" s="1"/>
  <c r="E13" i="20"/>
  <c r="F13" i="20" s="1"/>
  <c r="G13" i="20" s="1"/>
  <c r="E12" i="20"/>
  <c r="F12" i="20" s="1"/>
  <c r="G12" i="20" s="1"/>
  <c r="C11" i="20"/>
  <c r="E11" i="20" s="1"/>
  <c r="F11" i="20" s="1"/>
  <c r="G11" i="20" s="1"/>
  <c r="E10" i="20"/>
  <c r="F10" i="20" s="1"/>
  <c r="G10" i="20" s="1"/>
  <c r="E9" i="20"/>
  <c r="F9" i="20" s="1"/>
  <c r="G9" i="20" s="1"/>
  <c r="E8" i="20"/>
  <c r="F8" i="20" s="1"/>
  <c r="G8" i="20" s="1"/>
  <c r="E7" i="20"/>
  <c r="F7" i="20" s="1"/>
  <c r="G7" i="20" s="1"/>
  <c r="C6" i="20"/>
  <c r="E6" i="20" s="1"/>
  <c r="F6" i="20" s="1"/>
  <c r="G6" i="20" s="1"/>
  <c r="E5" i="20"/>
  <c r="F5" i="20" s="1"/>
  <c r="G5" i="20" s="1"/>
  <c r="E4" i="20"/>
  <c r="F4" i="20" s="1"/>
  <c r="E22" i="13"/>
  <c r="E21" i="13"/>
  <c r="E20" i="13"/>
  <c r="E19" i="13"/>
  <c r="E18" i="13"/>
  <c r="E17" i="13"/>
  <c r="E16" i="13"/>
  <c r="E15" i="13"/>
  <c r="E14" i="13"/>
  <c r="E13" i="13"/>
  <c r="E12" i="13"/>
  <c r="E11" i="13"/>
  <c r="E10" i="13"/>
  <c r="E9" i="13"/>
  <c r="E8" i="13"/>
  <c r="E7" i="13"/>
  <c r="E6" i="13"/>
  <c r="E5" i="13"/>
  <c r="E4" i="13"/>
  <c r="E3" i="13"/>
  <c r="C15" i="12"/>
  <c r="C13" i="12"/>
  <c r="C8" i="12"/>
  <c r="I34" i="11"/>
  <c r="H34" i="11"/>
  <c r="E34" i="11"/>
  <c r="G34" i="11" s="1"/>
  <c r="I33" i="11"/>
  <c r="H33" i="11"/>
  <c r="E33" i="11"/>
  <c r="G33" i="11" s="1"/>
  <c r="I32" i="11"/>
  <c r="H32" i="11"/>
  <c r="E32" i="11"/>
  <c r="G32" i="11" s="1"/>
  <c r="I31" i="11"/>
  <c r="H31" i="11"/>
  <c r="E31" i="11"/>
  <c r="F31" i="11" s="1"/>
  <c r="I30" i="11"/>
  <c r="H30" i="11"/>
  <c r="E30" i="11"/>
  <c r="G30" i="11" s="1"/>
  <c r="I29" i="11"/>
  <c r="H29" i="11"/>
  <c r="E29" i="11"/>
  <c r="G29" i="11" s="1"/>
  <c r="I28" i="11"/>
  <c r="H28" i="11"/>
  <c r="G28" i="11"/>
  <c r="F28" i="11"/>
  <c r="E28" i="11"/>
  <c r="I27" i="11"/>
  <c r="H27" i="11"/>
  <c r="E27" i="11"/>
  <c r="F27" i="11" s="1"/>
  <c r="I26" i="11"/>
  <c r="H26" i="11"/>
  <c r="E26" i="11"/>
  <c r="G26" i="11" s="1"/>
  <c r="I25" i="11"/>
  <c r="H25" i="11"/>
  <c r="E25" i="11"/>
  <c r="G25" i="11" s="1"/>
  <c r="I24" i="11"/>
  <c r="H24" i="11"/>
  <c r="E24" i="11"/>
  <c r="G24" i="11" s="1"/>
  <c r="I23" i="11"/>
  <c r="H23" i="11"/>
  <c r="E23" i="11"/>
  <c r="F23" i="11" s="1"/>
  <c r="I22" i="11"/>
  <c r="H22" i="11"/>
  <c r="E22" i="11"/>
  <c r="G22" i="11" s="1"/>
  <c r="I21" i="11"/>
  <c r="H21" i="11"/>
  <c r="E21" i="11"/>
  <c r="G21" i="11" s="1"/>
  <c r="I20" i="11"/>
  <c r="H20" i="11"/>
  <c r="E20" i="11"/>
  <c r="G20" i="11" s="1"/>
  <c r="I19" i="11"/>
  <c r="H19" i="11"/>
  <c r="E19" i="11"/>
  <c r="F19" i="11" s="1"/>
  <c r="I18" i="11"/>
  <c r="H18" i="11"/>
  <c r="E18" i="11"/>
  <c r="G18" i="11" s="1"/>
  <c r="I17" i="11"/>
  <c r="H17" i="11"/>
  <c r="E17" i="11"/>
  <c r="F17" i="11" s="1"/>
  <c r="I16" i="11"/>
  <c r="H16" i="11"/>
  <c r="E16" i="11"/>
  <c r="G16" i="11" s="1"/>
  <c r="I15" i="11"/>
  <c r="H15" i="11"/>
  <c r="E15" i="11"/>
  <c r="F15" i="11" s="1"/>
  <c r="I14" i="11"/>
  <c r="H14" i="11"/>
  <c r="E14" i="11"/>
  <c r="G14" i="11" s="1"/>
  <c r="I13" i="11"/>
  <c r="H13" i="11"/>
  <c r="E13" i="11"/>
  <c r="G13" i="11" s="1"/>
  <c r="I12" i="11"/>
  <c r="H12" i="11"/>
  <c r="E12" i="11"/>
  <c r="G12" i="11" s="1"/>
  <c r="I11" i="11"/>
  <c r="H11" i="11"/>
  <c r="E11" i="11"/>
  <c r="F11" i="11" s="1"/>
  <c r="I10" i="11"/>
  <c r="H10" i="11"/>
  <c r="E10" i="11"/>
  <c r="G10" i="11" s="1"/>
  <c r="I9" i="11"/>
  <c r="H9" i="11"/>
  <c r="F9" i="11"/>
  <c r="E9" i="11"/>
  <c r="G9" i="11" s="1"/>
  <c r="I8" i="11"/>
  <c r="H8" i="11"/>
  <c r="G8" i="11"/>
  <c r="E8" i="11"/>
  <c r="F8" i="11" s="1"/>
  <c r="I7" i="11"/>
  <c r="H7" i="11"/>
  <c r="E7" i="11"/>
  <c r="F7" i="11" s="1"/>
  <c r="I6" i="11"/>
  <c r="H6" i="11"/>
  <c r="E6" i="11"/>
  <c r="G6" i="11" s="1"/>
  <c r="I5" i="11"/>
  <c r="H5" i="11"/>
  <c r="E5" i="11"/>
  <c r="G5" i="11" s="1"/>
  <c r="I4" i="11"/>
  <c r="H4" i="11"/>
  <c r="E4" i="11"/>
  <c r="G4" i="11" s="1"/>
  <c r="D25" i="10"/>
  <c r="D24" i="10"/>
  <c r="D23" i="10"/>
  <c r="D22" i="10"/>
  <c r="D21" i="10"/>
  <c r="D20" i="10"/>
  <c r="D19" i="10"/>
  <c r="D18" i="10"/>
  <c r="D17" i="10"/>
  <c r="D16" i="10"/>
  <c r="D15" i="10"/>
  <c r="D14" i="10"/>
  <c r="D13" i="10"/>
  <c r="D12" i="10"/>
  <c r="D11" i="10"/>
  <c r="D10" i="10"/>
  <c r="D9" i="10"/>
  <c r="D8" i="10"/>
  <c r="D7" i="10"/>
  <c r="D6" i="10"/>
  <c r="D5" i="10"/>
  <c r="D4" i="10"/>
  <c r="D3" i="10"/>
  <c r="E25" i="9"/>
  <c r="E24" i="9"/>
  <c r="E23" i="9"/>
  <c r="E22" i="9"/>
  <c r="D21" i="9"/>
  <c r="C21" i="9"/>
  <c r="E20" i="9"/>
  <c r="E19" i="9"/>
  <c r="E18" i="9"/>
  <c r="E17" i="9"/>
  <c r="E16" i="9"/>
  <c r="D15" i="9"/>
  <c r="C15" i="9"/>
  <c r="E13" i="9"/>
  <c r="E12" i="9"/>
  <c r="E11" i="9"/>
  <c r="E10" i="9"/>
  <c r="D9" i="9"/>
  <c r="C9" i="9"/>
  <c r="E8" i="9"/>
  <c r="E7" i="9"/>
  <c r="E6" i="9"/>
  <c r="E5" i="9"/>
  <c r="E4" i="9"/>
  <c r="D3" i="9"/>
  <c r="C3" i="9"/>
  <c r="N27" i="8"/>
  <c r="O26" i="8"/>
  <c r="P26" i="8" s="1"/>
  <c r="N26" i="8"/>
  <c r="K26" i="8"/>
  <c r="H26" i="8"/>
  <c r="E26" i="8"/>
  <c r="O25" i="8"/>
  <c r="N25" i="8"/>
  <c r="P25" i="8" s="1"/>
  <c r="K25" i="8"/>
  <c r="H25" i="8"/>
  <c r="E25" i="8"/>
  <c r="O24" i="8"/>
  <c r="P24" i="8" s="1"/>
  <c r="N24" i="8"/>
  <c r="K24" i="8"/>
  <c r="H24" i="8"/>
  <c r="E24" i="8"/>
  <c r="O23" i="8"/>
  <c r="N23" i="8"/>
  <c r="K23" i="8"/>
  <c r="H23" i="8"/>
  <c r="E23" i="8"/>
  <c r="N22" i="8"/>
  <c r="J22" i="8"/>
  <c r="H22" i="8"/>
  <c r="G22" i="8"/>
  <c r="D22" i="8"/>
  <c r="O21" i="8"/>
  <c r="N21" i="8"/>
  <c r="K21" i="8"/>
  <c r="H21" i="8"/>
  <c r="E21" i="8"/>
  <c r="O20" i="8"/>
  <c r="N20" i="8"/>
  <c r="K20" i="8"/>
  <c r="H20" i="8"/>
  <c r="E20" i="8"/>
  <c r="O19" i="8"/>
  <c r="N19" i="8"/>
  <c r="K19" i="8"/>
  <c r="H19" i="8"/>
  <c r="E19" i="8"/>
  <c r="O18" i="8"/>
  <c r="N18" i="8"/>
  <c r="K18" i="8"/>
  <c r="H18" i="8"/>
  <c r="E18" i="8"/>
  <c r="O17" i="8"/>
  <c r="N17" i="8"/>
  <c r="K17" i="8"/>
  <c r="H17" i="8"/>
  <c r="E17" i="8"/>
  <c r="N16" i="8"/>
  <c r="J16" i="8"/>
  <c r="K16" i="8" s="1"/>
  <c r="G16" i="8"/>
  <c r="E16" i="8"/>
  <c r="D16" i="8"/>
  <c r="N15" i="8"/>
  <c r="O14" i="8"/>
  <c r="N14" i="8"/>
  <c r="K14" i="8"/>
  <c r="E14" i="8"/>
  <c r="O13" i="8"/>
  <c r="N13" i="8"/>
  <c r="K13" i="8"/>
  <c r="H13" i="8"/>
  <c r="E13" i="8"/>
  <c r="O12" i="8"/>
  <c r="P12" i="8" s="1"/>
  <c r="N12" i="8"/>
  <c r="K12" i="8"/>
  <c r="H12" i="8"/>
  <c r="E12" i="8"/>
  <c r="O11" i="8"/>
  <c r="N11" i="8"/>
  <c r="N10" i="8"/>
  <c r="J10" i="8"/>
  <c r="G10" i="8"/>
  <c r="H10" i="8" s="1"/>
  <c r="D10" i="8"/>
  <c r="E10" i="8" s="1"/>
  <c r="O9" i="8"/>
  <c r="P9" i="8" s="1"/>
  <c r="N9" i="8"/>
  <c r="K9" i="8"/>
  <c r="H9" i="8"/>
  <c r="E9" i="8"/>
  <c r="O8" i="8"/>
  <c r="N8" i="8"/>
  <c r="K8" i="8"/>
  <c r="H8" i="8"/>
  <c r="E8" i="8"/>
  <c r="O7" i="8"/>
  <c r="N7" i="8"/>
  <c r="K7" i="8"/>
  <c r="H7" i="8"/>
  <c r="E7" i="8"/>
  <c r="O6" i="8"/>
  <c r="N6" i="8"/>
  <c r="K6" i="8"/>
  <c r="H6" i="8"/>
  <c r="E6" i="8"/>
  <c r="O5" i="8"/>
  <c r="P5" i="8" s="1"/>
  <c r="N5" i="8"/>
  <c r="K5" i="8"/>
  <c r="H5" i="8"/>
  <c r="E5" i="8"/>
  <c r="N4" i="8"/>
  <c r="J4" i="8"/>
  <c r="K4" i="8" s="1"/>
  <c r="G4" i="8"/>
  <c r="D4" i="8"/>
  <c r="E4" i="8" s="1"/>
  <c r="L20" i="7"/>
  <c r="K20" i="7"/>
  <c r="I20" i="6"/>
  <c r="G20" i="6"/>
  <c r="E20" i="6"/>
  <c r="C20" i="6"/>
  <c r="D20" i="6" s="1"/>
  <c r="K19" i="6"/>
  <c r="L19" i="6" s="1"/>
  <c r="J19" i="6"/>
  <c r="H19" i="6"/>
  <c r="F19" i="6"/>
  <c r="D19" i="6"/>
  <c r="K18" i="6"/>
  <c r="L18" i="6" s="1"/>
  <c r="J18" i="6"/>
  <c r="H18" i="6"/>
  <c r="F18" i="6"/>
  <c r="D18" i="6"/>
  <c r="K17" i="6"/>
  <c r="L17" i="6" s="1"/>
  <c r="J17" i="6"/>
  <c r="H17" i="6"/>
  <c r="F17" i="6"/>
  <c r="D17" i="6"/>
  <c r="K16" i="6"/>
  <c r="L16" i="6" s="1"/>
  <c r="J16" i="6"/>
  <c r="H16" i="6"/>
  <c r="F16" i="6"/>
  <c r="D16" i="6"/>
  <c r="K15" i="6"/>
  <c r="L15" i="6" s="1"/>
  <c r="J15" i="6"/>
  <c r="H15" i="6"/>
  <c r="F15" i="6"/>
  <c r="D15" i="6"/>
  <c r="K14" i="6"/>
  <c r="L14" i="6" s="1"/>
  <c r="J14" i="6"/>
  <c r="H14" i="6"/>
  <c r="F14" i="6"/>
  <c r="D14" i="6"/>
  <c r="K13" i="6"/>
  <c r="L13" i="6" s="1"/>
  <c r="J13" i="6"/>
  <c r="H13" i="6"/>
  <c r="F13" i="6"/>
  <c r="D13" i="6"/>
  <c r="K12" i="6"/>
  <c r="L12" i="6" s="1"/>
  <c r="J12" i="6"/>
  <c r="H12" i="6"/>
  <c r="F12" i="6"/>
  <c r="D12" i="6"/>
  <c r="I11" i="6"/>
  <c r="G11" i="6"/>
  <c r="E11" i="6"/>
  <c r="C11" i="6"/>
  <c r="D11" i="6" s="1"/>
  <c r="K10" i="6"/>
  <c r="L10" i="6" s="1"/>
  <c r="J10" i="6"/>
  <c r="H10" i="6"/>
  <c r="F10" i="6"/>
  <c r="D10" i="6"/>
  <c r="K9" i="6"/>
  <c r="L9" i="6" s="1"/>
  <c r="J9" i="6"/>
  <c r="H9" i="6"/>
  <c r="F9" i="6"/>
  <c r="D9" i="6"/>
  <c r="K8" i="6"/>
  <c r="L8" i="6" s="1"/>
  <c r="J8" i="6"/>
  <c r="H8" i="6"/>
  <c r="F8" i="6"/>
  <c r="D8" i="6"/>
  <c r="K7" i="6"/>
  <c r="L7" i="6" s="1"/>
  <c r="J7" i="6"/>
  <c r="H7" i="6"/>
  <c r="F7" i="6"/>
  <c r="D7" i="6"/>
  <c r="K6" i="6"/>
  <c r="L6" i="6" s="1"/>
  <c r="J6" i="6"/>
  <c r="H6" i="6"/>
  <c r="F6" i="6"/>
  <c r="D6" i="6"/>
  <c r="K5" i="6"/>
  <c r="L5" i="6" s="1"/>
  <c r="J5" i="6"/>
  <c r="H5" i="6"/>
  <c r="F5" i="6"/>
  <c r="D5" i="6"/>
  <c r="K4" i="6"/>
  <c r="L4" i="6" s="1"/>
  <c r="J4" i="6"/>
  <c r="H4" i="6"/>
  <c r="F4" i="6"/>
  <c r="D4" i="6"/>
  <c r="F10" i="5"/>
  <c r="E10" i="5"/>
  <c r="D10" i="5"/>
  <c r="C10" i="5"/>
  <c r="M10" i="5" s="1"/>
  <c r="B10" i="5"/>
  <c r="L10" i="5" s="1"/>
  <c r="Q9" i="5"/>
  <c r="P9" i="5"/>
  <c r="M9" i="5"/>
  <c r="L9" i="5"/>
  <c r="K9" i="5"/>
  <c r="J9" i="5"/>
  <c r="I9" i="5"/>
  <c r="H9" i="5"/>
  <c r="P8" i="5"/>
  <c r="M8" i="5"/>
  <c r="L8" i="5"/>
  <c r="J8" i="5"/>
  <c r="G8" i="5"/>
  <c r="Q7" i="5"/>
  <c r="P7" i="5"/>
  <c r="M7" i="5"/>
  <c r="L7" i="5"/>
  <c r="K7" i="5"/>
  <c r="J7" i="5"/>
  <c r="I7" i="5"/>
  <c r="H7" i="5"/>
  <c r="Q6" i="5"/>
  <c r="P6" i="5"/>
  <c r="M6" i="5"/>
  <c r="L6" i="5"/>
  <c r="K6" i="5"/>
  <c r="J6" i="5"/>
  <c r="I6" i="5"/>
  <c r="H6" i="5"/>
  <c r="Q5" i="5"/>
  <c r="P5" i="5"/>
  <c r="M5" i="5"/>
  <c r="L5" i="5"/>
  <c r="K5" i="5"/>
  <c r="J5" i="5"/>
  <c r="I5" i="5"/>
  <c r="H5" i="5"/>
  <c r="Q4" i="5"/>
  <c r="P4" i="5"/>
  <c r="M4" i="5"/>
  <c r="L4" i="5"/>
  <c r="K4" i="5"/>
  <c r="J4" i="5"/>
  <c r="I4" i="5"/>
  <c r="H4" i="5"/>
  <c r="G16" i="4"/>
  <c r="B16" i="4"/>
  <c r="D16" i="4" s="1"/>
  <c r="G15" i="4"/>
  <c r="E15" i="4"/>
  <c r="D15" i="4"/>
  <c r="G14" i="4"/>
  <c r="E14" i="4"/>
  <c r="D14" i="4"/>
  <c r="G13" i="4"/>
  <c r="G12" i="4"/>
  <c r="E12" i="4"/>
  <c r="D12" i="4"/>
  <c r="G11" i="4"/>
  <c r="E11" i="4"/>
  <c r="D11" i="4"/>
  <c r="G10" i="4"/>
  <c r="B10" i="4"/>
  <c r="D10" i="4" s="1"/>
  <c r="G9" i="4"/>
  <c r="E9" i="4"/>
  <c r="D9" i="4"/>
  <c r="G8" i="4"/>
  <c r="E8" i="4"/>
  <c r="D8" i="4"/>
  <c r="G7" i="4"/>
  <c r="E7" i="4"/>
  <c r="D7" i="4"/>
  <c r="G6" i="4"/>
  <c r="E6" i="4"/>
  <c r="D6" i="4"/>
  <c r="G5" i="4"/>
  <c r="E5" i="4"/>
  <c r="D5" i="4"/>
  <c r="G4" i="4"/>
  <c r="B4" i="4"/>
  <c r="P22" i="3"/>
  <c r="C22" i="3"/>
  <c r="D17" i="2"/>
  <c r="E17" i="2" s="1"/>
  <c r="G16" i="2"/>
  <c r="D16" i="2"/>
  <c r="E16" i="2" s="1"/>
  <c r="G15" i="2"/>
  <c r="D15" i="2"/>
  <c r="E15" i="2" s="1"/>
  <c r="G14" i="2"/>
  <c r="D14" i="2"/>
  <c r="E14" i="2" s="1"/>
  <c r="G13" i="2"/>
  <c r="D13" i="2"/>
  <c r="E13" i="2" s="1"/>
  <c r="G12" i="2"/>
  <c r="D12" i="2"/>
  <c r="E12" i="2" s="1"/>
  <c r="G11" i="2"/>
  <c r="D11" i="2"/>
  <c r="E11" i="2" s="1"/>
  <c r="G10" i="2"/>
  <c r="D10" i="2"/>
  <c r="E10" i="2" s="1"/>
  <c r="G9" i="2"/>
  <c r="D9" i="2"/>
  <c r="E9" i="2" s="1"/>
  <c r="G8" i="2"/>
  <c r="D8" i="2"/>
  <c r="E8" i="2" s="1"/>
  <c r="G7" i="2"/>
  <c r="D7" i="2"/>
  <c r="E7" i="2" s="1"/>
  <c r="G6" i="2"/>
  <c r="D6" i="2"/>
  <c r="E6" i="2" s="1"/>
  <c r="G5" i="2"/>
  <c r="D5" i="2"/>
  <c r="E5" i="2" s="1"/>
  <c r="G4" i="2"/>
  <c r="G17" i="2" s="1"/>
  <c r="E4" i="2"/>
  <c r="D4" i="2"/>
  <c r="P13" i="8" l="1"/>
  <c r="F24" i="11"/>
  <c r="F33" i="11"/>
  <c r="E4" i="21"/>
  <c r="F27" i="21"/>
  <c r="F30" i="21"/>
  <c r="E10" i="4"/>
  <c r="B13" i="4"/>
  <c r="E13" i="4" s="1"/>
  <c r="H20" i="6"/>
  <c r="P7" i="8"/>
  <c r="E3" i="9"/>
  <c r="F12" i="11"/>
  <c r="F25" i="11"/>
  <c r="E10" i="21"/>
  <c r="F12" i="21"/>
  <c r="E26" i="21"/>
  <c r="E9" i="24"/>
  <c r="F9" i="24" s="1"/>
  <c r="E16" i="4"/>
  <c r="D4" i="4"/>
  <c r="Q8" i="8"/>
  <c r="P19" i="8"/>
  <c r="D26" i="9"/>
  <c r="G17" i="11"/>
  <c r="F8" i="21"/>
  <c r="E24" i="21"/>
  <c r="E9" i="25"/>
  <c r="F9" i="25" s="1"/>
  <c r="E11" i="21"/>
  <c r="F11" i="21"/>
  <c r="D26" i="24"/>
  <c r="E26" i="24" s="1"/>
  <c r="F26" i="24" s="1"/>
  <c r="E4" i="4"/>
  <c r="P14" i="8"/>
  <c r="P17" i="8"/>
  <c r="P21" i="8"/>
  <c r="F4" i="11"/>
  <c r="F16" i="11"/>
  <c r="F20" i="11"/>
  <c r="F32" i="11"/>
  <c r="B3" i="21"/>
  <c r="E7" i="21"/>
  <c r="E20" i="21"/>
  <c r="E21" i="21"/>
  <c r="E31" i="21"/>
  <c r="F11" i="6"/>
  <c r="J11" i="6"/>
  <c r="P18" i="8"/>
  <c r="P23" i="8"/>
  <c r="C26" i="9"/>
  <c r="E14" i="21"/>
  <c r="F18" i="21"/>
  <c r="H11" i="6"/>
  <c r="E15" i="9"/>
  <c r="F3" i="21"/>
  <c r="O4" i="8"/>
  <c r="P4" i="8" s="1"/>
  <c r="H4" i="8"/>
  <c r="G15" i="8"/>
  <c r="H15" i="8" s="1"/>
  <c r="D14" i="9"/>
  <c r="E9" i="9"/>
  <c r="D13" i="4"/>
  <c r="G10" i="5"/>
  <c r="I8" i="5"/>
  <c r="H8" i="5"/>
  <c r="Q8" i="5"/>
  <c r="K8" i="5"/>
  <c r="P10" i="5"/>
  <c r="J20" i="6"/>
  <c r="P6" i="8"/>
  <c r="R8" i="8"/>
  <c r="S8" i="8" s="1"/>
  <c r="T8" i="8" s="1"/>
  <c r="K10" i="8"/>
  <c r="J15" i="8"/>
  <c r="K15" i="8" s="1"/>
  <c r="G27" i="8"/>
  <c r="H27" i="8" s="1"/>
  <c r="O16" i="8"/>
  <c r="P16" i="8" s="1"/>
  <c r="H16" i="8"/>
  <c r="L11" i="6"/>
  <c r="G4" i="20"/>
  <c r="G3" i="20" s="1"/>
  <c r="F3" i="20"/>
  <c r="F20" i="6"/>
  <c r="L20" i="6"/>
  <c r="K11" i="6"/>
  <c r="J27" i="8"/>
  <c r="K27" i="8" s="1"/>
  <c r="K22" i="8"/>
  <c r="F10" i="11"/>
  <c r="G11" i="11"/>
  <c r="F18" i="11"/>
  <c r="G19" i="11"/>
  <c r="F26" i="11"/>
  <c r="G27" i="11"/>
  <c r="F34" i="11"/>
  <c r="D3" i="21"/>
  <c r="E3" i="21" s="1"/>
  <c r="E29" i="21"/>
  <c r="F32" i="21"/>
  <c r="B17" i="4"/>
  <c r="O10" i="8"/>
  <c r="P10" i="8" s="1"/>
  <c r="D27" i="8"/>
  <c r="E22" i="8"/>
  <c r="E21" i="9"/>
  <c r="F5" i="11"/>
  <c r="F13" i="11"/>
  <c r="F21" i="11"/>
  <c r="F29" i="11"/>
  <c r="E5" i="21"/>
  <c r="E6" i="21"/>
  <c r="E9" i="21"/>
  <c r="F13" i="21"/>
  <c r="E15" i="21"/>
  <c r="E16" i="21"/>
  <c r="E19" i="21"/>
  <c r="F23" i="21"/>
  <c r="E25" i="21"/>
  <c r="E28" i="21"/>
  <c r="K20" i="6"/>
  <c r="P8" i="8"/>
  <c r="D15" i="8"/>
  <c r="P20" i="8"/>
  <c r="O22" i="8"/>
  <c r="P22" i="8" s="1"/>
  <c r="C14" i="9"/>
  <c r="F6" i="11"/>
  <c r="G7" i="11"/>
  <c r="F14" i="11"/>
  <c r="G15" i="11"/>
  <c r="F22" i="11"/>
  <c r="G23" i="11"/>
  <c r="F30" i="11"/>
  <c r="G31" i="11"/>
  <c r="C3" i="20"/>
  <c r="E3" i="20" s="1"/>
  <c r="E33" i="21"/>
  <c r="E26" i="9"/>
  <c r="E21" i="24"/>
  <c r="F21" i="24" s="1"/>
  <c r="E15" i="25"/>
  <c r="F15" i="25" s="1"/>
  <c r="E14" i="9" l="1"/>
  <c r="D17" i="4"/>
  <c r="E17" i="4"/>
  <c r="K10" i="5"/>
  <c r="Q10" i="5"/>
  <c r="J10" i="5"/>
  <c r="I10" i="5"/>
  <c r="H10" i="5"/>
  <c r="E15" i="8"/>
  <c r="O15" i="8"/>
  <c r="P15" i="8" s="1"/>
  <c r="O27" i="8"/>
  <c r="P27" i="8" s="1"/>
  <c r="E27" i="8"/>
</calcChain>
</file>

<file path=xl/sharedStrings.xml><?xml version="1.0" encoding="utf-8"?>
<sst xmlns="http://schemas.openxmlformats.org/spreadsheetml/2006/main" count="721" uniqueCount="379">
  <si>
    <t>Memòria sobre l'economia, el treball i la societat de les Illes Balears 2020</t>
  </si>
  <si>
    <t>Índex de quadres i gràfics. I.I.10. Administracions públiques i càrrega fiscal</t>
  </si>
  <si>
    <t>Quadre I-10.1.</t>
  </si>
  <si>
    <t>Distribució econòmica del pressupost consolidat per capítols d'ingressos de la Comunitat Autònoma de les Illes Balears (2018-2019)</t>
  </si>
  <si>
    <t>Gràfic I-10.1.</t>
  </si>
  <si>
    <t xml:space="preserve">Evolució del pressupost de la CAIB i percentatge de variació interanual (2001-2020)
Evolució del pressupost de la CAIB i percentatge de variació interanual (2001-2020)
</t>
  </si>
  <si>
    <t>Quadre I-10.2.</t>
  </si>
  <si>
    <t>Distribució econòmica del pressupost consolidat per capítols de despesa de la Comunitat a Autònoma de les Illes Balears (2019-2020)</t>
  </si>
  <si>
    <t>Quadre I-10.3.</t>
  </si>
  <si>
    <t>Territorialització de la inversió a les Illes Balears (2015-2020)</t>
  </si>
  <si>
    <t>Quadre I-10.4.</t>
  </si>
  <si>
    <t>Distribució econòmica del pressupost dels ens públics i societats públiques a les Illes Balears per capítols (2020)</t>
  </si>
  <si>
    <t>Quadre I-10.5.</t>
  </si>
  <si>
    <t>Evolució del deute de les comunitats autònomes (PDE) (milions d'euros) (2010-2020)</t>
  </si>
  <si>
    <t>Quadre I-10.6.</t>
  </si>
  <si>
    <t>Pressuposts consolidats dels consells insulars (en euros) (2019-2020)</t>
  </si>
  <si>
    <t>Quadre I-10.7.</t>
  </si>
  <si>
    <t>Distribució econòmica dels pressuposts inicials dels ajuntaments de les Illes Balears (euros) (2019-2020)</t>
  </si>
  <si>
    <t>Quadre I-10.8.</t>
  </si>
  <si>
    <t>Pressuposts inicials de despeses dels ajuntaments de les Illes Balears (euros) (2019-2020)</t>
  </si>
  <si>
    <t>Quadre I-10.9.</t>
  </si>
  <si>
    <t>Anàlisi social de la despesa de les entitats locals de les Balears per programes (2019-2020)</t>
  </si>
  <si>
    <t>Quadre I-10.10.</t>
  </si>
  <si>
    <t xml:space="preserve"> Ingressos de la Delegació Especial d'Hisenda de les Illes Balears (milers d'euros) (2019-2020)</t>
  </si>
  <si>
    <t>Quadre I-10.11.</t>
  </si>
  <si>
    <t>Distribució de la càrrega tributària per tipus de tribut per comunitats autònomes (2020)</t>
  </si>
  <si>
    <t>Gràfic I-10.2.</t>
  </si>
  <si>
    <t>Càrrega fiscal per administracions a les Illes Balears (2020)</t>
  </si>
  <si>
    <t>Quadre I-10.12.</t>
  </si>
  <si>
    <t xml:space="preserve"> Distribució de la càrrega fiscal per administracions i per CA (2020)</t>
  </si>
  <si>
    <t>Quadre I-10.13.</t>
  </si>
  <si>
    <t>Càrrega fiscal per habitant i per comunitats autònomes (exercici 2020)</t>
  </si>
  <si>
    <t>Gràfic I-10.3.</t>
  </si>
  <si>
    <t>Pressió fiscal per CA: diferència respecte a la mitjana nacional en punts percentuals (2020)</t>
  </si>
  <si>
    <t>Quadre I-10.14.</t>
  </si>
  <si>
    <t>Càrrega fiscal per habitant (euros) a les Balears per illes (2020)</t>
  </si>
  <si>
    <t>Quadre I-10.15.</t>
  </si>
  <si>
    <t>Càrrega fiscal per habitant (euros) a les Balears per illes i municipis (2020)</t>
  </si>
  <si>
    <t>Quadre I-10.16.</t>
  </si>
  <si>
    <t>Anàlisi de la despesa pública per polítiques de la despesa a les Illes Balears per funció/programa (2020)</t>
  </si>
  <si>
    <t>Quadre I-10.17.</t>
  </si>
  <si>
    <t>Anàlisi de la despesa classificada a les Illes Balears per polítiques de la despesa i programa (2020)</t>
  </si>
  <si>
    <t>Quadre IA-10.1.</t>
  </si>
  <si>
    <t>Evolució del pressupost de la CAIB (2001-2020)</t>
  </si>
  <si>
    <t>Quadre IA-10.2.</t>
  </si>
  <si>
    <t>Quadre IA-10.3.</t>
  </si>
  <si>
    <t>Pressupost consolidat de l'Ajuntament de Palma (euros) (2019-2020)</t>
  </si>
  <si>
    <t>Pressupost propi de l'Ajuntament de Calvià (2019-2020)</t>
  </si>
  <si>
    <t>Quadre I-10.1. Distribució econòmica del pressupost consolidat per capítols d'ingressos de la Comunitat Autònoma de les Illes Balears (2018-2019)</t>
  </si>
  <si>
    <t>Import (milers d'euros)</t>
  </si>
  <si>
    <t>Variació</t>
  </si>
  <si>
    <t>Valor relatiu</t>
  </si>
  <si>
    <t>2020-2019</t>
  </si>
  <si>
    <t>(%) 2020-19</t>
  </si>
  <si>
    <t>Total ingrés no financer</t>
  </si>
  <si>
    <t>Total operacions corrents</t>
  </si>
  <si>
    <t>I. Imposts directes</t>
  </si>
  <si>
    <t>II. Imposts indirectes</t>
  </si>
  <si>
    <t>III. Taxes, prestació de serveis i altres ingressos</t>
  </si>
  <si>
    <t>IV. Transferències corrents</t>
  </si>
  <si>
    <t>V. Ingressos patrimonials</t>
  </si>
  <si>
    <t>Total operacions de capital</t>
  </si>
  <si>
    <t>VI. Alienació d'inversions reals</t>
  </si>
  <si>
    <t>VII. Transferències de capital</t>
  </si>
  <si>
    <t>Total operacions financeres</t>
  </si>
  <si>
    <t>VIII. Actius financers</t>
  </si>
  <si>
    <t>IX. Passius financers</t>
  </si>
  <si>
    <t>Total ingrés</t>
  </si>
  <si>
    <t>Font: Govern de les Illes Balears, Conselleria d'Hisenda i Relacions Exteriors</t>
  </si>
  <si>
    <t>Despesa (milions d'euros)</t>
  </si>
  <si>
    <t>% de variació interanual</t>
  </si>
  <si>
    <t>% sobre el PIB</t>
  </si>
  <si>
    <t>Font: Govern de les Illes Balears, Conselleria d'Hisenda i Relacions Exteriors, INE</t>
  </si>
  <si>
    <t>Quadre I-10.2. Distribució econòmica del pressupost consolidat per capítols de despesa de la Comunitat a Autònoma de les Illes Balears (2019-2020)</t>
  </si>
  <si>
    <t>2019-2020</t>
  </si>
  <si>
    <t>(%) 2019-20</t>
  </si>
  <si>
    <t xml:space="preserve"> </t>
  </si>
  <si>
    <t>I. Despeses de personal</t>
  </si>
  <si>
    <t>II. Compra de béns corrents i serveis</t>
  </si>
  <si>
    <t>III. Despeses financeres</t>
  </si>
  <si>
    <t>V. Fons de contingències</t>
  </si>
  <si>
    <t>VI. Inversions reals</t>
  </si>
  <si>
    <t>Total despesa no financera</t>
  </si>
  <si>
    <t>Total despesa</t>
  </si>
  <si>
    <t>Quadre I-10.3. Territorialització de la inversió a les Illes Balears (2015-2020)</t>
  </si>
  <si>
    <t>2015/2020</t>
  </si>
  <si>
    <t>2019/2020</t>
  </si>
  <si>
    <t>(%) 15/20</t>
  </si>
  <si>
    <t>(%) 19-20</t>
  </si>
  <si>
    <t>00. Indeterminat</t>
  </si>
  <si>
    <t>10. Mallorca (sense Palma)</t>
  </si>
  <si>
    <t>11. Palma</t>
  </si>
  <si>
    <t>20. Menorca</t>
  </si>
  <si>
    <t>30. Eivissa</t>
  </si>
  <si>
    <t>40. Formentera</t>
  </si>
  <si>
    <t>Total inversió</t>
  </si>
  <si>
    <t>Quadre I-10.4. Distribució econòmica del pressupost dels ens públics i societats públiques a les Illes Balears per capítols (2020)</t>
  </si>
  <si>
    <t>Entitats públiques empresarials</t>
  </si>
  <si>
    <t>Fundacions</t>
  </si>
  <si>
    <t>Consorcis</t>
  </si>
  <si>
    <t>Societats mercantils públiques</t>
  </si>
  <si>
    <t>Total agregat</t>
  </si>
  <si>
    <t>Milers d'euros</t>
  </si>
  <si>
    <t>Valor relatiu (%)</t>
  </si>
  <si>
    <t>Ingressos</t>
  </si>
  <si>
    <t>III. Taxes, preus públics i altres</t>
  </si>
  <si>
    <t>VI. Alienació d'inversions</t>
  </si>
  <si>
    <t>Total ingressos</t>
  </si>
  <si>
    <t>Despeses</t>
  </si>
  <si>
    <t>II. Despeses corrents</t>
  </si>
  <si>
    <t>VIII. Variació actius financers</t>
  </si>
  <si>
    <t>Total despeses</t>
  </si>
  <si>
    <t>Quadre I-10.5. Evolució del deute de les comunitats autònomes (PDE) (milions d'euros) (2010-2020)</t>
  </si>
  <si>
    <t>Andalusia</t>
  </si>
  <si>
    <t>Aragó</t>
  </si>
  <si>
    <t>Astúries</t>
  </si>
  <si>
    <t>Balears (Illes)</t>
  </si>
  <si>
    <t>Canàries (Illes)</t>
  </si>
  <si>
    <t>Cantàbria</t>
  </si>
  <si>
    <t>Castella-la Manxa</t>
  </si>
  <si>
    <t>Castella i Lleó</t>
  </si>
  <si>
    <t>Catalunya</t>
  </si>
  <si>
    <t>Extremadura</t>
  </si>
  <si>
    <t>Galícia</t>
  </si>
  <si>
    <t>La Rioja</t>
  </si>
  <si>
    <t>Madrid</t>
  </si>
  <si>
    <t>Múrcia</t>
  </si>
  <si>
    <t>Navarra</t>
  </si>
  <si>
    <t>País Basc</t>
  </si>
  <si>
    <t>Com. Valenciana</t>
  </si>
  <si>
    <t>Total</t>
  </si>
  <si>
    <t>Font: Banc d'Espanya</t>
  </si>
  <si>
    <t>Quadre I-10.6. Pressuposts consolidats dels consells insulars (en euros) (2019-2020)</t>
  </si>
  <si>
    <t>Consell Insular de Mallorca</t>
  </si>
  <si>
    <t>Consell Insular de Menorca</t>
  </si>
  <si>
    <t>Consell Insular d'Eivissa</t>
  </si>
  <si>
    <t>% var 20/19</t>
  </si>
  <si>
    <t>AGREGADO CC.II.</t>
  </si>
  <si>
    <t>Operacions corrents</t>
  </si>
  <si>
    <t>III. Taxes i altres ingressos</t>
  </si>
  <si>
    <t>Operacions de capital</t>
  </si>
  <si>
    <t>VIII. Variació d'actius financers</t>
  </si>
  <si>
    <t>IX. Variació de passius financers</t>
  </si>
  <si>
    <t>I. Remuneració de personal</t>
  </si>
  <si>
    <t>II. Compra de béns i serveis</t>
  </si>
  <si>
    <t>III. Interessos</t>
  </si>
  <si>
    <t>V. Fons de contingència i imprevists</t>
  </si>
  <si>
    <t>Font: Elaboració pròpia segons dades del Ministeri d'Hisenda i Administracions Públiques</t>
  </si>
  <si>
    <t>Quadre I-10.7. Distribució econòmica dels pressuposts inicials dels ajuntaments de les Illes Balears (euros) (2019-2020)</t>
  </si>
  <si>
    <t>% de var. 19-20</t>
  </si>
  <si>
    <t>II. Béns corrents i serveis</t>
  </si>
  <si>
    <t>Font: Elaboració pròpia segons dades del Ministeri d'Hisenda i els portals municipals de transparència</t>
  </si>
  <si>
    <t>Quadre I-10.8. Pressuposts inicials de despeses dels ajuntaments de les Illes Balears (euros) (2019-2020)</t>
  </si>
  <si>
    <t>% var.  20-19</t>
  </si>
  <si>
    <t>Alcúdia</t>
  </si>
  <si>
    <t>Calvià</t>
  </si>
  <si>
    <t>Inca</t>
  </si>
  <si>
    <t>Llucmajor</t>
  </si>
  <si>
    <t>Manacor</t>
  </si>
  <si>
    <t>Marratxí</t>
  </si>
  <si>
    <t>Palma</t>
  </si>
  <si>
    <t>Pollença</t>
  </si>
  <si>
    <t>Santanyí</t>
  </si>
  <si>
    <t>Sóller</t>
  </si>
  <si>
    <t>La resta</t>
  </si>
  <si>
    <t>Mallorca</t>
  </si>
  <si>
    <t>Ciutadella</t>
  </si>
  <si>
    <t>Maó</t>
  </si>
  <si>
    <t>Menorca</t>
  </si>
  <si>
    <t>Eivissa</t>
  </si>
  <si>
    <t>Santa Eulària des Riu</t>
  </si>
  <si>
    <t>Sant Josep</t>
  </si>
  <si>
    <t>Formentera</t>
  </si>
  <si>
    <t>Eivissa-Formentera</t>
  </si>
  <si>
    <t>Font: Elaboració pròpia segons dades del Ministeri d'Hisenda i portal de transparència municipal</t>
  </si>
  <si>
    <t>Quadre I-10.9. Anàlisi social de la despesa de les entitats locals de les Balears per programes (2019-2020)</t>
  </si>
  <si>
    <t>Total consolidat entitats locals (en milers d'euros)</t>
  </si>
  <si>
    <t>% de variació absoluta 2020-2019</t>
  </si>
  <si>
    <t>% de variació relativa 2020/2019</t>
  </si>
  <si>
    <t>Repartiment de l'increment</t>
  </si>
  <si>
    <t>Repartiment de la despesa (%)</t>
  </si>
  <si>
    <t>Despesa per habitant</t>
  </si>
  <si>
    <t>0</t>
  </si>
  <si>
    <t>Deute públic</t>
  </si>
  <si>
    <t>01</t>
  </si>
  <si>
    <t>1</t>
  </si>
  <si>
    <t>Serveis públics bàsics</t>
  </si>
  <si>
    <t>13</t>
  </si>
  <si>
    <t>Seguretat i mobilitat ciutadana</t>
  </si>
  <si>
    <t>15</t>
  </si>
  <si>
    <t>Habitatge i urbanisme</t>
  </si>
  <si>
    <t>16</t>
  </si>
  <si>
    <t>Benestar comunitari</t>
  </si>
  <si>
    <t>17</t>
  </si>
  <si>
    <t>Medi ambient</t>
  </si>
  <si>
    <t>2</t>
  </si>
  <si>
    <t>Actuacions de protecció i promoció social</t>
  </si>
  <si>
    <t>21</t>
  </si>
  <si>
    <t>Pensions</t>
  </si>
  <si>
    <t>22</t>
  </si>
  <si>
    <t>Altres prestacions econòmiques a favor d'empleats</t>
  </si>
  <si>
    <t>23</t>
  </si>
  <si>
    <t>Serveis Socials i promoció social</t>
  </si>
  <si>
    <t>24</t>
  </si>
  <si>
    <t>Foment de l’ocupació</t>
  </si>
  <si>
    <t>3</t>
  </si>
  <si>
    <t>Producció de béns públics de caràcter preferent</t>
  </si>
  <si>
    <t>31</t>
  </si>
  <si>
    <t>Sanitat</t>
  </si>
  <si>
    <t>32</t>
  </si>
  <si>
    <t>Educació</t>
  </si>
  <si>
    <t>33</t>
  </si>
  <si>
    <t>Cultura</t>
  </si>
  <si>
    <t>34</t>
  </si>
  <si>
    <t>Esport</t>
  </si>
  <si>
    <t>4</t>
  </si>
  <si>
    <t>Actuacions de caràcter econòmic</t>
  </si>
  <si>
    <t>41</t>
  </si>
  <si>
    <t>Agricultura, ramaderia i pesca</t>
  </si>
  <si>
    <t>42</t>
  </si>
  <si>
    <t>Indústria i energia</t>
  </si>
  <si>
    <t>43</t>
  </si>
  <si>
    <t>Comerç, turisme i petites i mitjanes empreses</t>
  </si>
  <si>
    <t>44</t>
  </si>
  <si>
    <t>Transport públic</t>
  </si>
  <si>
    <t>45</t>
  </si>
  <si>
    <t>Infraestructures</t>
  </si>
  <si>
    <t>46</t>
  </si>
  <si>
    <t>Recerca, desenvolupament i innovació</t>
  </si>
  <si>
    <t>49</t>
  </si>
  <si>
    <t>Altres actuacions de caràcter econòmic</t>
  </si>
  <si>
    <t>9</t>
  </si>
  <si>
    <t>Actuacions de caràcter general</t>
  </si>
  <si>
    <t>91</t>
  </si>
  <si>
    <t>Òrgans de govern</t>
  </si>
  <si>
    <t>92</t>
  </si>
  <si>
    <t>Serveis de caràcter general</t>
  </si>
  <si>
    <t>93</t>
  </si>
  <si>
    <t>Administració financera i tributària</t>
  </si>
  <si>
    <t>94</t>
  </si>
  <si>
    <t>Transferències a altres administracions públiques</t>
  </si>
  <si>
    <t>Font: Elaboració pròpia segons dades del Ministeri d'Hisenda i l'Ibestat</t>
  </si>
  <si>
    <t>La dada consolidada de les entitats locals de les Balears correspon al consolidat dels consells insulars, els ajuntaments, les mancomunitats i les entitats menors.</t>
  </si>
  <si>
    <t>Quadre I-10.10. Ingressos de la Delegació Especial d'Hisenda de les Illes Balears (milers d'euros) (2019-2020)</t>
  </si>
  <si>
    <t>Illes Balears</t>
  </si>
  <si>
    <t>Espanya</t>
  </si>
  <si>
    <t>% de var.</t>
  </si>
  <si>
    <t>Capítol I: Imposts directes</t>
  </si>
  <si>
    <t>Imposts sobre la renda de persones físiques</t>
  </si>
  <si>
    <t>Imposts sobre societats</t>
  </si>
  <si>
    <t>Imposts sobre la renda no residents</t>
  </si>
  <si>
    <t>La resta del capítol I</t>
  </si>
  <si>
    <t>Capítol II: Imposts indirectes</t>
  </si>
  <si>
    <t>Imposts sobre el valor afegit</t>
  </si>
  <si>
    <t>Imposts especials</t>
  </si>
  <si>
    <t>Impost sobre primes d'assegurances</t>
  </si>
  <si>
    <t>La resta del capítol II</t>
  </si>
  <si>
    <t>Capítol III: Taxes i altres ingressos</t>
  </si>
  <si>
    <t>Total ingressos tributaris</t>
  </si>
  <si>
    <t>Font: Informe mensual de recaudación tributaria,2020, Agència Tributària</t>
  </si>
  <si>
    <t>La resta del capítol I aumenta per la recaptació de nous tributs mediambientals.</t>
  </si>
  <si>
    <t>Quadre I-10.11. Distribució de la càrrega tributària per tipus de tribut per comunitats autònomes (2020)</t>
  </si>
  <si>
    <t>Imposts directes</t>
  </si>
  <si>
    <t>Imposts indirectes</t>
  </si>
  <si>
    <t>Taxes i altres ingressos</t>
  </si>
  <si>
    <t>Illes Canàries</t>
  </si>
  <si>
    <t>Ceuta</t>
  </si>
  <si>
    <t>Melilla</t>
  </si>
  <si>
    <t>Total Nacional</t>
  </si>
  <si>
    <t>Font: Elaboració pròpia</t>
  </si>
  <si>
    <t>Càrrega fiscal per administracions a les Illes Balears el 2020</t>
  </si>
  <si>
    <t>%</t>
  </si>
  <si>
    <t>Administració local</t>
  </si>
  <si>
    <t>Administració autonòmica</t>
  </si>
  <si>
    <t>Administració estatal</t>
  </si>
  <si>
    <t>Quadre I-10.12. Distribució de la càrrega fiscal per administracions i per CA (2020)</t>
  </si>
  <si>
    <t>Adm. local</t>
  </si>
  <si>
    <t>Adm. autonòmica</t>
  </si>
  <si>
    <t>Adm. estatal</t>
  </si>
  <si>
    <t>Mitjana nacional</t>
  </si>
  <si>
    <t>Quadre I-10.13. Càrrega fiscal per habitant i per comunitats autònomes (exercici 2020)</t>
  </si>
  <si>
    <t>PIB per capita</t>
  </si>
  <si>
    <t>Càrrega fiscal per habitant</t>
  </si>
  <si>
    <t>Pressió fiscal: CF/PIB</t>
  </si>
  <si>
    <t>Comunitat Valenciana</t>
  </si>
  <si>
    <t>Mitjana Nacional</t>
  </si>
  <si>
    <t>Pressió fiscal: diferència respecte a la mitjana nacional en punts percentuals (2020)</t>
  </si>
  <si>
    <t>Font: Elaboració pròpia a partir de dades de l'INE, el MINHAP, el MINHAFP, l'AEAT i l'Ibestat</t>
  </si>
  <si>
    <t>Quadre I-10.14. Càrrega fiscal per habitant (euros) a les Balears per illes (2020)</t>
  </si>
  <si>
    <t>Pressió fiscal per habitant</t>
  </si>
  <si>
    <t>Mitjana de Mallorca</t>
  </si>
  <si>
    <t>Mitjana de Menorca</t>
  </si>
  <si>
    <t>Mitjana d'Eivissa</t>
  </si>
  <si>
    <t>Mitjana de les Balears</t>
  </si>
  <si>
    <t>Font: Elaboració pròpia. Dades en euros per habitant i any</t>
  </si>
  <si>
    <t>Quadre I-10.15. Càrrega fiscal per habitant (euros) a les Balears per illes i municipis (2020)</t>
  </si>
  <si>
    <t>e</t>
  </si>
  <si>
    <t>Càrrega fiscal per habitant (€)</t>
  </si>
  <si>
    <t>Alaró</t>
  </si>
  <si>
    <t>Algaida</t>
  </si>
  <si>
    <t>Andratx</t>
  </si>
  <si>
    <t>Ariany</t>
  </si>
  <si>
    <t>Artà</t>
  </si>
  <si>
    <t>Banyalbufar</t>
  </si>
  <si>
    <t>Binissalem</t>
  </si>
  <si>
    <t>Búger</t>
  </si>
  <si>
    <t>Bunyola</t>
  </si>
  <si>
    <t>Campanet</t>
  </si>
  <si>
    <t>Campos</t>
  </si>
  <si>
    <t>Capdepera</t>
  </si>
  <si>
    <t>Consell</t>
  </si>
  <si>
    <t>Costitx</t>
  </si>
  <si>
    <t>Deià</t>
  </si>
  <si>
    <t>Escorca</t>
  </si>
  <si>
    <t>Esporles</t>
  </si>
  <si>
    <t>Estellencs</t>
  </si>
  <si>
    <t>Felanitx</t>
  </si>
  <si>
    <t>Fornalutx</t>
  </si>
  <si>
    <t>Lloret de Vistalegre</t>
  </si>
  <si>
    <t>Lloseta</t>
  </si>
  <si>
    <t>Llubí</t>
  </si>
  <si>
    <t>Mancor de la Vall</t>
  </si>
  <si>
    <t>Maria de la Salut</t>
  </si>
  <si>
    <t>Montuïri</t>
  </si>
  <si>
    <t>Muro</t>
  </si>
  <si>
    <t>Petra</t>
  </si>
  <si>
    <t>Porreres</t>
  </si>
  <si>
    <t>Sa Pobla</t>
  </si>
  <si>
    <t>Puigpunyent</t>
  </si>
  <si>
    <t>Sencelles</t>
  </si>
  <si>
    <t>Sant Joan</t>
  </si>
  <si>
    <t>Sant Llorenç des Cardassar</t>
  </si>
  <si>
    <t>Santa Eugènia</t>
  </si>
  <si>
    <t>Santa Margalida</t>
  </si>
  <si>
    <t>Santa Maria del Camí</t>
  </si>
  <si>
    <t>Selva</t>
  </si>
  <si>
    <t>Ses Salines</t>
  </si>
  <si>
    <t>Sineu</t>
  </si>
  <si>
    <t>Son Servera</t>
  </si>
  <si>
    <t>Valldemossa</t>
  </si>
  <si>
    <t>Vilafranca de Bonany</t>
  </si>
  <si>
    <t>Alaior</t>
  </si>
  <si>
    <t>Ciutadella de Menorca</t>
  </si>
  <si>
    <t>Ferreries</t>
  </si>
  <si>
    <t>Es Mercadal</t>
  </si>
  <si>
    <t>Sant Lluís</t>
  </si>
  <si>
    <t>Es Castell</t>
  </si>
  <si>
    <t>Es Migjorn Gran</t>
  </si>
  <si>
    <t>Sant Antoni de Portmany</t>
  </si>
  <si>
    <t>Sant Josep de sa Talaia</t>
  </si>
  <si>
    <t>Sant Joan de Labritja</t>
  </si>
  <si>
    <t>Quadre I-10.16. Anàlisi de la despesa pública per polítiques de la despesa a les Illes Balears per funció/programa (2020)</t>
  </si>
  <si>
    <t>Total consolidat CAIB-EL (milers d'euros)</t>
  </si>
  <si>
    <t>Despesa de l'Estat prorratejada per a les Balears (milers d'euros)</t>
  </si>
  <si>
    <t>Despesa local i autonòmica per habitant (euros)</t>
  </si>
  <si>
    <t>Despesa estatal per habitant (euros)</t>
  </si>
  <si>
    <t>Despesa total per habitant (euros)</t>
  </si>
  <si>
    <t>Repartiment de la despesa pública per habitant</t>
  </si>
  <si>
    <t>Serveis socials i promoció social</t>
  </si>
  <si>
    <t>Foment de l'ocupació</t>
  </si>
  <si>
    <t>Investigació, desenvolupament i innovació</t>
  </si>
  <si>
    <t>Quadre I-10.17. Anàlisi de la despesa classificada a les Illes Balears per polítiques de la despesa i programa (2020)</t>
  </si>
  <si>
    <t>Total consolidat de l'Administració autonòmica (milers d'euros)</t>
  </si>
  <si>
    <t>Total consolidat de les entitats locals (milers d'euros)</t>
  </si>
  <si>
    <t>Total consolidat AA-EL (milers d'euros)</t>
  </si>
  <si>
    <t>Despesa per habitant (euros)</t>
  </si>
  <si>
    <t>Quadre IA-10.1. Evolució del pressupost de la CAIB (2001-2020)</t>
  </si>
  <si>
    <t>Despesa (milers d'euros)</t>
  </si>
  <si>
    <t>Percentatge</t>
  </si>
  <si>
    <t>PIB</t>
  </si>
  <si>
    <t>Font: Govern de les Illes Balears, Conselleria d'Hisenda i Relacions Exteriors i Estimació s/dades INE</t>
  </si>
  <si>
    <t>Font: Elaboració pròpia sobre dades del MINHAP</t>
  </si>
  <si>
    <t>Var. 2019-2020</t>
  </si>
  <si>
    <t>n.c.</t>
  </si>
  <si>
    <t>Font: Elaboració pròpia sobre dades del Ministeri d'Hisenda i la Corporació</t>
  </si>
  <si>
    <t>Var. 2020-19</t>
  </si>
  <si>
    <t>% de var. 20-19</t>
  </si>
  <si>
    <t>Quadre IA-10.3. Pressupost propi de l'Ajuntament de Calvià (2019-2020)</t>
  </si>
  <si>
    <t>Quadre IA-10.2. Pressupost consolidat de l'Ajuntament de Palma (euros) (2019-2020)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</si>
</sst>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5">
    <numFmt numFmtId="164" formatCode="[$-C0A]General"/>
    <numFmt numFmtId="165" formatCode="#,##0.0"/>
    <numFmt numFmtId="166" formatCode="0.0"/>
    <numFmt numFmtId="167" formatCode="#,##0.00&quot;    &quot;;&quot;-&quot;#,##0.00&quot;    &quot;;&quot; -&quot;#&quot;    &quot;;@&quot; &quot;"/>
    <numFmt numFmtId="168" formatCode="[$-C0A]#,##0.00"/>
    <numFmt numFmtId="169" formatCode="[$-C0A]#\ ??/??"/>
    <numFmt numFmtId="170" formatCode="[$-C0A]#,##0"/>
    <numFmt numFmtId="171" formatCode="0.0%"/>
    <numFmt numFmtId="172" formatCode="[$-C0A]0.00%"/>
    <numFmt numFmtId="173" formatCode="#,##0.0&quot; €&quot;"/>
    <numFmt numFmtId="174" formatCode="[$-C0A]0.00"/>
    <numFmt numFmtId="175" formatCode="[$-C0A]0"/>
    <numFmt numFmtId="176" formatCode="#,##0.00&quot; &quot;;&quot;-&quot;#,##0.00&quot; &quot;;&quot; -&quot;#&quot; &quot;;@&quot; &quot;"/>
    <numFmt numFmtId="177" formatCode="[$-C0A]0%"/>
    <numFmt numFmtId="178" formatCode="#,##0.00&quot; &quot;[$€-C0A];[Red]&quot;-&quot;#,##0.00&quot; &quot;[$€-C0A]"/>
  </numFmts>
  <fonts count="18" x14ac:knownFonts="1">
    <font>
      <sz val="11"/>
      <color theme="1"/>
      <name val="Arial"/>
      <family val="2"/>
    </font>
    <font>
      <sz val="10"/>
      <color theme="1"/>
      <name val="Arial"/>
      <family val="2"/>
    </font>
    <font>
      <u/>
      <sz val="10"/>
      <color rgb="FF0563C1"/>
      <name val="Arial"/>
      <family val="2"/>
    </font>
    <font>
      <b/>
      <i/>
      <sz val="16"/>
      <color theme="1"/>
      <name val="Arial"/>
      <family val="2"/>
    </font>
    <font>
      <b/>
      <i/>
      <u/>
      <sz val="11"/>
      <color theme="1"/>
      <name val="Arial"/>
      <family val="2"/>
    </font>
    <font>
      <b/>
      <sz val="11"/>
      <color rgb="FF000000"/>
      <name val="Calibri"/>
      <family val="2"/>
    </font>
    <font>
      <b/>
      <sz val="8"/>
      <color rgb="FFFFFFFF"/>
      <name val="Arial"/>
      <family val="2"/>
    </font>
    <font>
      <sz val="8"/>
      <color theme="1"/>
      <name val="Arial"/>
      <family val="2"/>
    </font>
    <font>
      <sz val="8"/>
      <color rgb="FF000000"/>
      <name val="Arial"/>
      <family val="2"/>
    </font>
    <font>
      <b/>
      <sz val="8"/>
      <color theme="1"/>
      <name val="Arial"/>
      <family val="2"/>
    </font>
    <font>
      <b/>
      <sz val="8"/>
      <color rgb="FF000000"/>
      <name val="Arial"/>
      <family val="2"/>
    </font>
    <font>
      <i/>
      <sz val="8"/>
      <color theme="1"/>
      <name val="Arial"/>
      <family val="2"/>
    </font>
    <font>
      <sz val="10"/>
      <color rgb="FF000000"/>
      <name val="Arial"/>
      <family val="2"/>
    </font>
    <font>
      <i/>
      <sz val="8"/>
      <color rgb="FF000000"/>
      <name val="Arial"/>
      <family val="2"/>
    </font>
    <font>
      <sz val="14"/>
      <color theme="1"/>
      <name val="Arial"/>
      <family val="2"/>
    </font>
    <font>
      <sz val="7.5"/>
      <color theme="1"/>
      <name val="Arial"/>
      <family val="2"/>
    </font>
    <font>
      <u/>
      <sz val="11"/>
      <color theme="10"/>
      <name val="Arial"/>
      <family val="2"/>
    </font>
    <font>
      <u/>
      <sz val="10"/>
      <color theme="10"/>
      <name val="Arial"/>
      <family val="2"/>
    </font>
  </fonts>
  <fills count="10">
    <fill>
      <patternFill patternType="none"/>
    </fill>
    <fill>
      <patternFill patternType="gray125"/>
    </fill>
    <fill>
      <patternFill patternType="solid">
        <fgColor rgb="FF808080"/>
        <bgColor rgb="FF808080"/>
      </patternFill>
    </fill>
    <fill>
      <patternFill patternType="solid">
        <fgColor rgb="FFFFCC00"/>
        <bgColor rgb="FFFFCC00"/>
      </patternFill>
    </fill>
    <fill>
      <patternFill patternType="solid">
        <fgColor rgb="FFC0C0C0"/>
        <bgColor rgb="FFC0C0C0"/>
      </patternFill>
    </fill>
    <fill>
      <patternFill patternType="solid">
        <fgColor rgb="FFFFFFFF"/>
        <bgColor rgb="FFFFFFFF"/>
      </patternFill>
    </fill>
    <fill>
      <patternFill patternType="solid">
        <fgColor rgb="FFFFFF00"/>
        <bgColor rgb="FFFFFF00"/>
      </patternFill>
    </fill>
    <fill>
      <patternFill patternType="solid">
        <fgColor rgb="FFBFBFBF"/>
        <bgColor rgb="FFBFBFBF"/>
      </patternFill>
    </fill>
    <fill>
      <patternFill patternType="solid">
        <fgColor rgb="FFD9D9D9"/>
        <bgColor rgb="FFD9D9D9"/>
      </patternFill>
    </fill>
    <fill>
      <patternFill patternType="solid">
        <fgColor rgb="FFA6A6A6"/>
        <bgColor rgb="FFA6A6A6"/>
      </patternFill>
    </fill>
  </fills>
  <borders count="7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</borders>
  <cellStyleXfs count="10">
    <xf numFmtId="0" fontId="0" fillId="0" borderId="0"/>
    <xf numFmtId="176" fontId="1" fillId="0" borderId="0"/>
    <xf numFmtId="177" fontId="1" fillId="0" borderId="0"/>
    <xf numFmtId="0" fontId="2" fillId="0" borderId="0"/>
    <xf numFmtId="177" fontId="1" fillId="0" borderId="0"/>
    <xf numFmtId="0" fontId="3" fillId="0" borderId="0">
      <alignment horizontal="center"/>
    </xf>
    <xf numFmtId="0" fontId="3" fillId="0" borderId="0">
      <alignment horizontal="center" textRotation="90"/>
    </xf>
    <xf numFmtId="0" fontId="4" fillId="0" borderId="0"/>
    <xf numFmtId="178" fontId="4" fillId="0" borderId="0"/>
    <xf numFmtId="0" fontId="16" fillId="0" borderId="0" applyNumberFormat="0" applyFill="0" applyBorder="0" applyAlignment="0" applyProtection="0"/>
  </cellStyleXfs>
  <cellXfs count="202">
    <xf numFmtId="0" fontId="0" fillId="0" borderId="0" xfId="0"/>
    <xf numFmtId="0" fontId="7" fillId="0" borderId="0" xfId="0" applyFont="1" applyAlignment="1"/>
    <xf numFmtId="164" fontId="7" fillId="0" borderId="1" xfId="2" applyNumberFormat="1" applyFont="1" applyBorder="1" applyProtection="1"/>
    <xf numFmtId="164" fontId="7" fillId="3" borderId="1" xfId="2" applyNumberFormat="1" applyFont="1" applyFill="1" applyBorder="1" applyAlignment="1" applyProtection="1">
      <alignment horizontal="center"/>
    </xf>
    <xf numFmtId="0" fontId="8" fillId="3" borderId="1" xfId="0" applyFont="1" applyFill="1" applyBorder="1" applyAlignment="1">
      <alignment horizontal="center"/>
    </xf>
    <xf numFmtId="49" fontId="7" fillId="3" borderId="1" xfId="2" applyNumberFormat="1" applyFont="1" applyFill="1" applyBorder="1" applyAlignment="1" applyProtection="1">
      <alignment horizontal="center"/>
    </xf>
    <xf numFmtId="164" fontId="9" fillId="4" borderId="1" xfId="2" applyNumberFormat="1" applyFont="1" applyFill="1" applyBorder="1" applyProtection="1"/>
    <xf numFmtId="166" fontId="9" fillId="4" borderId="1" xfId="2" applyNumberFormat="1" applyFont="1" applyFill="1" applyBorder="1" applyAlignment="1" applyProtection="1">
      <alignment horizontal="right"/>
    </xf>
    <xf numFmtId="166" fontId="10" fillId="4" borderId="1" xfId="0" applyNumberFormat="1" applyFont="1" applyFill="1" applyBorder="1" applyAlignment="1">
      <alignment horizontal="right"/>
    </xf>
    <xf numFmtId="166" fontId="7" fillId="0" borderId="1" xfId="2" applyNumberFormat="1" applyFont="1" applyBorder="1" applyAlignment="1" applyProtection="1">
      <alignment horizontal="right"/>
    </xf>
    <xf numFmtId="166" fontId="7" fillId="5" borderId="1" xfId="2" applyNumberFormat="1" applyFont="1" applyFill="1" applyBorder="1" applyAlignment="1" applyProtection="1">
      <alignment horizontal="right"/>
    </xf>
    <xf numFmtId="166" fontId="9" fillId="5" borderId="1" xfId="2" applyNumberFormat="1" applyFont="1" applyFill="1" applyBorder="1" applyAlignment="1" applyProtection="1">
      <alignment horizontal="right"/>
    </xf>
    <xf numFmtId="166" fontId="10" fillId="5" borderId="1" xfId="0" applyNumberFormat="1" applyFont="1" applyFill="1" applyBorder="1" applyAlignment="1">
      <alignment horizontal="right"/>
    </xf>
    <xf numFmtId="166" fontId="8" fillId="5" borderId="1" xfId="0" applyNumberFormat="1" applyFont="1" applyFill="1" applyBorder="1" applyAlignment="1">
      <alignment horizontal="right"/>
    </xf>
    <xf numFmtId="164" fontId="7" fillId="0" borderId="1" xfId="2" applyNumberFormat="1" applyFont="1" applyBorder="1" applyAlignment="1" applyProtection="1">
      <alignment horizontal="left" indent="1"/>
    </xf>
    <xf numFmtId="167" fontId="7" fillId="0" borderId="0" xfId="0" applyNumberFormat="1" applyFont="1" applyAlignment="1"/>
    <xf numFmtId="171" fontId="7" fillId="0" borderId="0" xfId="4" applyNumberFormat="1" applyFont="1" applyBorder="1" applyAlignment="1" applyProtection="1"/>
    <xf numFmtId="176" fontId="7" fillId="0" borderId="0" xfId="1" applyFont="1" applyBorder="1" applyAlignment="1" applyProtection="1"/>
    <xf numFmtId="168" fontId="7" fillId="0" borderId="0" xfId="0" applyNumberFormat="1" applyFont="1" applyAlignment="1"/>
    <xf numFmtId="164" fontId="7" fillId="5" borderId="1" xfId="2" applyNumberFormat="1" applyFont="1" applyFill="1" applyBorder="1" applyAlignment="1" applyProtection="1">
      <alignment horizontal="center" vertical="center" wrapText="1"/>
    </xf>
    <xf numFmtId="164" fontId="7" fillId="5" borderId="1" xfId="2" applyNumberFormat="1" applyFont="1" applyFill="1" applyBorder="1" applyAlignment="1" applyProtection="1">
      <alignment horizontal="left"/>
    </xf>
    <xf numFmtId="170" fontId="7" fillId="0" borderId="1" xfId="0" applyNumberFormat="1" applyFont="1" applyBorder="1" applyAlignment="1"/>
    <xf numFmtId="171" fontId="7" fillId="0" borderId="1" xfId="4" applyNumberFormat="1" applyFont="1" applyBorder="1" applyAlignment="1" applyProtection="1"/>
    <xf numFmtId="171" fontId="7" fillId="0" borderId="1" xfId="4" applyNumberFormat="1" applyFont="1" applyBorder="1" applyAlignment="1" applyProtection="1">
      <alignment horizontal="right"/>
    </xf>
    <xf numFmtId="171" fontId="7" fillId="5" borderId="1" xfId="4" applyNumberFormat="1" applyFont="1" applyFill="1" applyBorder="1" applyAlignment="1" applyProtection="1">
      <alignment horizontal="right"/>
    </xf>
    <xf numFmtId="0" fontId="7" fillId="5" borderId="0" xfId="0" applyFont="1" applyFill="1" applyAlignment="1"/>
    <xf numFmtId="165" fontId="7" fillId="0" borderId="1" xfId="2" applyNumberFormat="1" applyFont="1" applyBorder="1" applyAlignment="1" applyProtection="1">
      <alignment horizontal="right"/>
    </xf>
    <xf numFmtId="165" fontId="8" fillId="0" borderId="1" xfId="0" applyNumberFormat="1" applyFont="1" applyBorder="1" applyAlignment="1">
      <alignment horizontal="right"/>
    </xf>
    <xf numFmtId="165" fontId="9" fillId="4" borderId="1" xfId="2" applyNumberFormat="1" applyFont="1" applyFill="1" applyBorder="1" applyAlignment="1" applyProtection="1">
      <alignment horizontal="right"/>
    </xf>
    <xf numFmtId="165" fontId="10" fillId="4" borderId="1" xfId="0" applyNumberFormat="1" applyFont="1" applyFill="1" applyBorder="1" applyAlignment="1">
      <alignment horizontal="right"/>
    </xf>
    <xf numFmtId="0" fontId="7" fillId="0" borderId="1" xfId="0" applyFont="1" applyBorder="1" applyAlignment="1"/>
    <xf numFmtId="165" fontId="7" fillId="0" borderId="1" xfId="2" applyNumberFormat="1" applyFont="1" applyBorder="1" applyProtection="1"/>
    <xf numFmtId="177" fontId="8" fillId="0" borderId="1" xfId="2" applyFont="1" applyBorder="1" applyProtection="1"/>
    <xf numFmtId="171" fontId="8" fillId="0" borderId="1" xfId="0" applyNumberFormat="1" applyFont="1" applyBorder="1" applyAlignment="1"/>
    <xf numFmtId="165" fontId="9" fillId="4" borderId="1" xfId="2" applyNumberFormat="1" applyFont="1" applyFill="1" applyBorder="1" applyProtection="1"/>
    <xf numFmtId="168" fontId="9" fillId="4" borderId="1" xfId="2" applyNumberFormat="1" applyFont="1" applyFill="1" applyBorder="1" applyProtection="1"/>
    <xf numFmtId="171" fontId="9" fillId="4" borderId="1" xfId="2" applyNumberFormat="1" applyFont="1" applyFill="1" applyBorder="1" applyProtection="1"/>
    <xf numFmtId="171" fontId="7" fillId="0" borderId="1" xfId="2" applyNumberFormat="1" applyFont="1" applyBorder="1" applyProtection="1"/>
    <xf numFmtId="164" fontId="7" fillId="0" borderId="0" xfId="2" applyNumberFormat="1" applyFont="1" applyBorder="1" applyProtection="1"/>
    <xf numFmtId="170" fontId="8" fillId="0" borderId="1" xfId="0" applyNumberFormat="1" applyFont="1" applyBorder="1" applyAlignment="1"/>
    <xf numFmtId="170" fontId="7" fillId="0" borderId="1" xfId="2" applyNumberFormat="1" applyFont="1" applyBorder="1" applyProtection="1"/>
    <xf numFmtId="170" fontId="10" fillId="4" borderId="1" xfId="0" applyNumberFormat="1" applyFont="1" applyFill="1" applyBorder="1" applyAlignment="1"/>
    <xf numFmtId="170" fontId="9" fillId="4" borderId="1" xfId="2" applyNumberFormat="1" applyFont="1" applyFill="1" applyBorder="1" applyProtection="1"/>
    <xf numFmtId="0" fontId="8" fillId="0" borderId="1" xfId="0" applyFont="1" applyBorder="1" applyAlignment="1"/>
    <xf numFmtId="172" fontId="6" fillId="5" borderId="0" xfId="0" applyNumberFormat="1" applyFont="1" applyFill="1" applyBorder="1" applyAlignment="1">
      <alignment horizontal="center"/>
    </xf>
    <xf numFmtId="0" fontId="9" fillId="0" borderId="1" xfId="0" applyFont="1" applyBorder="1" applyAlignment="1"/>
    <xf numFmtId="0" fontId="7" fillId="3" borderId="1" xfId="0" applyFont="1" applyFill="1" applyBorder="1" applyAlignment="1">
      <alignment horizontal="center"/>
    </xf>
    <xf numFmtId="172" fontId="7" fillId="5" borderId="0" xfId="0" applyNumberFormat="1" applyFont="1" applyFill="1" applyBorder="1" applyAlignment="1">
      <alignment horizontal="center"/>
    </xf>
    <xf numFmtId="0" fontId="9" fillId="0" borderId="0" xfId="0" applyFont="1" applyAlignment="1"/>
    <xf numFmtId="172" fontId="7" fillId="3" borderId="1" xfId="0" applyNumberFormat="1" applyFont="1" applyFill="1" applyBorder="1" applyAlignment="1">
      <alignment horizontal="center"/>
    </xf>
    <xf numFmtId="174" fontId="7" fillId="0" borderId="1" xfId="0" applyNumberFormat="1" applyFont="1" applyBorder="1" applyAlignment="1"/>
    <xf numFmtId="165" fontId="7" fillId="5" borderId="1" xfId="0" applyNumberFormat="1" applyFont="1" applyFill="1" applyBorder="1" applyAlignment="1"/>
    <xf numFmtId="171" fontId="7" fillId="5" borderId="1" xfId="4" applyNumberFormat="1" applyFont="1" applyFill="1" applyBorder="1" applyAlignment="1" applyProtection="1"/>
    <xf numFmtId="172" fontId="7" fillId="5" borderId="0" xfId="4" applyNumberFormat="1" applyFont="1" applyFill="1" applyBorder="1" applyAlignment="1" applyProtection="1"/>
    <xf numFmtId="168" fontId="9" fillId="0" borderId="0" xfId="0" applyNumberFormat="1" applyFont="1" applyAlignment="1"/>
    <xf numFmtId="172" fontId="7" fillId="5" borderId="1" xfId="4" applyNumberFormat="1" applyFont="1" applyFill="1" applyBorder="1" applyAlignment="1" applyProtection="1"/>
    <xf numFmtId="174" fontId="7" fillId="0" borderId="1" xfId="0" applyNumberFormat="1" applyFont="1" applyBorder="1" applyAlignment="1">
      <alignment horizontal="left" indent="1"/>
    </xf>
    <xf numFmtId="165" fontId="8" fillId="0" borderId="1" xfId="2" applyNumberFormat="1" applyFont="1" applyBorder="1" applyAlignment="1" applyProtection="1">
      <alignment horizontal="right" wrapText="1"/>
    </xf>
    <xf numFmtId="171" fontId="1" fillId="0" borderId="0" xfId="4" applyNumberFormat="1" applyBorder="1" applyProtection="1"/>
    <xf numFmtId="174" fontId="9" fillId="4" borderId="1" xfId="0" applyNumberFormat="1" applyFont="1" applyFill="1" applyBorder="1" applyAlignment="1"/>
    <xf numFmtId="165" fontId="9" fillId="4" borderId="1" xfId="0" applyNumberFormat="1" applyFont="1" applyFill="1" applyBorder="1" applyAlignment="1"/>
    <xf numFmtId="171" fontId="9" fillId="4" borderId="1" xfId="4" applyNumberFormat="1" applyFont="1" applyFill="1" applyBorder="1" applyAlignment="1" applyProtection="1"/>
    <xf numFmtId="172" fontId="9" fillId="5" borderId="0" xfId="4" applyNumberFormat="1" applyFont="1" applyFill="1" applyBorder="1" applyAlignment="1" applyProtection="1"/>
    <xf numFmtId="168" fontId="9" fillId="6" borderId="0" xfId="0" applyNumberFormat="1" applyFont="1" applyFill="1" applyAlignment="1"/>
    <xf numFmtId="172" fontId="7" fillId="6" borderId="1" xfId="4" applyNumberFormat="1" applyFont="1" applyFill="1" applyBorder="1" applyAlignment="1" applyProtection="1"/>
    <xf numFmtId="177" fontId="7" fillId="5" borderId="0" xfId="4" applyFont="1" applyFill="1" applyBorder="1" applyAlignment="1" applyProtection="1"/>
    <xf numFmtId="168" fontId="9" fillId="4" borderId="1" xfId="0" applyNumberFormat="1" applyFont="1" applyFill="1" applyBorder="1" applyAlignment="1"/>
    <xf numFmtId="172" fontId="7" fillId="5" borderId="0" xfId="0" applyNumberFormat="1" applyFont="1" applyFill="1" applyBorder="1" applyAlignment="1">
      <alignment horizontal="left"/>
    </xf>
    <xf numFmtId="0" fontId="7" fillId="0" borderId="0" xfId="0" applyFont="1" applyAlignment="1">
      <alignment horizontal="left"/>
    </xf>
    <xf numFmtId="172" fontId="7" fillId="0" borderId="0" xfId="0" applyNumberFormat="1" applyFont="1" applyAlignment="1"/>
    <xf numFmtId="172" fontId="7" fillId="5" borderId="0" xfId="0" applyNumberFormat="1" applyFont="1" applyFill="1" applyBorder="1" applyAlignment="1"/>
    <xf numFmtId="177" fontId="7" fillId="0" borderId="0" xfId="4" applyFont="1" applyBorder="1" applyAlignment="1" applyProtection="1"/>
    <xf numFmtId="165" fontId="7" fillId="0" borderId="1" xfId="0" applyNumberFormat="1" applyFont="1" applyBorder="1" applyAlignment="1"/>
    <xf numFmtId="168" fontId="7" fillId="0" borderId="0" xfId="2" applyNumberFormat="1" applyFont="1" applyBorder="1" applyProtection="1"/>
    <xf numFmtId="175" fontId="7" fillId="0" borderId="0" xfId="0" applyNumberFormat="1" applyFont="1" applyAlignment="1"/>
    <xf numFmtId="0" fontId="9" fillId="4" borderId="1" xfId="0" applyFont="1" applyFill="1" applyBorder="1" applyAlignment="1"/>
    <xf numFmtId="164" fontId="9" fillId="0" borderId="1" xfId="2" applyNumberFormat="1" applyFont="1" applyBorder="1" applyProtection="1"/>
    <xf numFmtId="170" fontId="7" fillId="3" borderId="1" xfId="2" applyNumberFormat="1" applyFont="1" applyFill="1" applyBorder="1" applyAlignment="1" applyProtection="1">
      <alignment horizontal="center" vertical="center" wrapText="1"/>
    </xf>
    <xf numFmtId="164" fontId="7" fillId="3" borderId="1" xfId="2" applyNumberFormat="1" applyFont="1" applyFill="1" applyBorder="1" applyAlignment="1" applyProtection="1">
      <alignment horizontal="center" vertical="center" wrapText="1"/>
    </xf>
    <xf numFmtId="177" fontId="1" fillId="0" borderId="0" xfId="2" applyBorder="1" applyProtection="1"/>
    <xf numFmtId="177" fontId="9" fillId="0" borderId="1" xfId="2" applyFont="1" applyBorder="1" applyAlignment="1" applyProtection="1">
      <alignment vertical="center"/>
    </xf>
    <xf numFmtId="170" fontId="9" fillId="0" borderId="1" xfId="2" applyNumberFormat="1" applyFont="1" applyBorder="1" applyProtection="1"/>
    <xf numFmtId="171" fontId="9" fillId="0" borderId="1" xfId="2" applyNumberFormat="1" applyFont="1" applyBorder="1" applyProtection="1"/>
    <xf numFmtId="165" fontId="9" fillId="0" borderId="1" xfId="2" applyNumberFormat="1" applyFont="1" applyBorder="1" applyProtection="1"/>
    <xf numFmtId="170" fontId="7" fillId="5" borderId="1" xfId="2" applyNumberFormat="1" applyFont="1" applyFill="1" applyBorder="1" applyProtection="1"/>
    <xf numFmtId="171" fontId="7" fillId="5" borderId="1" xfId="2" applyNumberFormat="1" applyFont="1" applyFill="1" applyBorder="1" applyProtection="1"/>
    <xf numFmtId="164" fontId="7" fillId="5" borderId="0" xfId="2" applyNumberFormat="1" applyFont="1" applyFill="1" applyBorder="1" applyProtection="1"/>
    <xf numFmtId="170" fontId="9" fillId="7" borderId="1" xfId="2" applyNumberFormat="1" applyFont="1" applyFill="1" applyBorder="1" applyProtection="1"/>
    <xf numFmtId="171" fontId="9" fillId="7" borderId="1" xfId="2" applyNumberFormat="1" applyFont="1" applyFill="1" applyBorder="1" applyProtection="1"/>
    <xf numFmtId="165" fontId="9" fillId="7" borderId="1" xfId="2" applyNumberFormat="1" applyFont="1" applyFill="1" applyBorder="1" applyProtection="1"/>
    <xf numFmtId="0" fontId="7" fillId="0" borderId="1" xfId="0" applyFont="1" applyBorder="1" applyAlignment="1">
      <alignment horizontal="left" indent="1"/>
    </xf>
    <xf numFmtId="170" fontId="9" fillId="4" borderId="1" xfId="0" applyNumberFormat="1" applyFont="1" applyFill="1" applyBorder="1" applyAlignment="1"/>
    <xf numFmtId="0" fontId="7" fillId="5" borderId="4" xfId="0" applyFont="1" applyFill="1" applyBorder="1" applyAlignment="1"/>
    <xf numFmtId="0" fontId="7" fillId="3" borderId="1" xfId="0" applyFont="1" applyFill="1" applyBorder="1" applyAlignment="1">
      <alignment horizontal="center" vertical="center" wrapText="1"/>
    </xf>
    <xf numFmtId="171" fontId="8" fillId="5" borderId="1" xfId="0" applyNumberFormat="1" applyFont="1" applyFill="1" applyBorder="1" applyAlignment="1"/>
    <xf numFmtId="171" fontId="10" fillId="4" borderId="1" xfId="0" applyNumberFormat="1" applyFont="1" applyFill="1" applyBorder="1" applyAlignment="1"/>
    <xf numFmtId="0" fontId="11" fillId="0" borderId="0" xfId="0" applyFont="1" applyAlignment="1"/>
    <xf numFmtId="0" fontId="7" fillId="0" borderId="0" xfId="0" applyFont="1"/>
    <xf numFmtId="0" fontId="6" fillId="0" borderId="1" xfId="0" applyFont="1" applyBorder="1" applyAlignment="1"/>
    <xf numFmtId="172" fontId="10" fillId="4" borderId="1" xfId="0" applyNumberFormat="1" applyFont="1" applyFill="1" applyBorder="1" applyAlignment="1"/>
    <xf numFmtId="0" fontId="10" fillId="4" borderId="1" xfId="0" applyFont="1" applyFill="1" applyBorder="1" applyAlignment="1"/>
    <xf numFmtId="0" fontId="7" fillId="8" borderId="0" xfId="0" applyFont="1" applyFill="1" applyAlignment="1"/>
    <xf numFmtId="173" fontId="9" fillId="4" borderId="1" xfId="0" applyNumberFormat="1" applyFont="1" applyFill="1" applyBorder="1" applyAlignment="1"/>
    <xf numFmtId="171" fontId="9" fillId="4" borderId="1" xfId="0" applyNumberFormat="1" applyFont="1" applyFill="1" applyBorder="1" applyAlignment="1"/>
    <xf numFmtId="0" fontId="8" fillId="0" borderId="0" xfId="0" applyFont="1" applyAlignment="1"/>
    <xf numFmtId="173" fontId="7" fillId="5" borderId="1" xfId="0" applyNumberFormat="1" applyFont="1" applyFill="1" applyBorder="1" applyAlignment="1"/>
    <xf numFmtId="171" fontId="7" fillId="5" borderId="1" xfId="0" applyNumberFormat="1" applyFont="1" applyFill="1" applyBorder="1" applyAlignment="1"/>
    <xf numFmtId="173" fontId="7" fillId="0" borderId="1" xfId="0" applyNumberFormat="1" applyFont="1" applyBorder="1" applyAlignment="1"/>
    <xf numFmtId="0" fontId="8" fillId="8" borderId="0" xfId="0" applyFont="1" applyFill="1" applyAlignment="1"/>
    <xf numFmtId="165" fontId="9" fillId="8" borderId="1" xfId="0" applyNumberFormat="1" applyFont="1" applyFill="1" applyBorder="1" applyAlignment="1"/>
    <xf numFmtId="173" fontId="9" fillId="8" borderId="1" xfId="0" applyNumberFormat="1" applyFont="1" applyFill="1" applyBorder="1" applyAlignment="1"/>
    <xf numFmtId="171" fontId="9" fillId="8" borderId="1" xfId="0" applyNumberFormat="1" applyFont="1" applyFill="1" applyBorder="1" applyAlignment="1"/>
    <xf numFmtId="0" fontId="7" fillId="0" borderId="0" xfId="0" applyFont="1" applyBorder="1" applyAlignment="1"/>
    <xf numFmtId="0" fontId="7" fillId="0" borderId="5" xfId="0" applyFont="1" applyBorder="1" applyAlignment="1"/>
    <xf numFmtId="171" fontId="7" fillId="0" borderId="5" xfId="4" applyNumberFormat="1" applyFont="1" applyBorder="1" applyAlignment="1" applyProtection="1"/>
    <xf numFmtId="0" fontId="1" fillId="8" borderId="0" xfId="0" applyFont="1" applyFill="1" applyAlignment="1"/>
    <xf numFmtId="166" fontId="7" fillId="0" borderId="0" xfId="0" applyNumberFormat="1" applyFont="1" applyAlignment="1"/>
    <xf numFmtId="0" fontId="12" fillId="0" borderId="0" xfId="0" applyFont="1" applyAlignment="1"/>
    <xf numFmtId="0" fontId="12" fillId="8" borderId="0" xfId="0" applyFont="1" applyFill="1" applyAlignment="1"/>
    <xf numFmtId="0" fontId="12" fillId="5" borderId="0" xfId="0" applyFont="1" applyFill="1" applyAlignment="1"/>
    <xf numFmtId="0" fontId="8" fillId="3" borderId="1" xfId="0" applyFont="1" applyFill="1" applyBorder="1" applyAlignment="1">
      <alignment horizontal="center" vertical="center" wrapText="1"/>
    </xf>
    <xf numFmtId="0" fontId="8" fillId="5" borderId="1" xfId="0" applyFont="1" applyFill="1" applyBorder="1" applyAlignment="1"/>
    <xf numFmtId="165" fontId="8" fillId="5" borderId="1" xfId="0" applyNumberFormat="1" applyFont="1" applyFill="1" applyBorder="1" applyAlignment="1"/>
    <xf numFmtId="165" fontId="10" fillId="9" borderId="1" xfId="0" applyNumberFormat="1" applyFont="1" applyFill="1" applyBorder="1" applyAlignment="1"/>
    <xf numFmtId="165" fontId="10" fillId="4" borderId="1" xfId="0" applyNumberFormat="1" applyFont="1" applyFill="1" applyBorder="1" applyAlignment="1"/>
    <xf numFmtId="164" fontId="8" fillId="5" borderId="1" xfId="2" applyNumberFormat="1" applyFont="1" applyFill="1" applyBorder="1" applyAlignment="1" applyProtection="1">
      <alignment horizontal="left" indent="1"/>
    </xf>
    <xf numFmtId="165" fontId="8" fillId="0" borderId="1" xfId="0" applyNumberFormat="1" applyFont="1" applyBorder="1" applyAlignment="1"/>
    <xf numFmtId="0" fontId="7" fillId="5" borderId="0" xfId="0" applyFont="1" applyFill="1"/>
    <xf numFmtId="0" fontId="8" fillId="5" borderId="1" xfId="0" applyFont="1" applyFill="1" applyBorder="1" applyAlignment="1">
      <alignment horizontal="left" indent="1"/>
    </xf>
    <xf numFmtId="0" fontId="8" fillId="0" borderId="1" xfId="0" applyFont="1" applyBorder="1" applyAlignment="1">
      <alignment horizontal="left" indent="1"/>
    </xf>
    <xf numFmtId="0" fontId="7" fillId="0" borderId="1" xfId="0" applyFont="1" applyBorder="1"/>
    <xf numFmtId="0" fontId="9" fillId="4" borderId="1" xfId="0" applyFont="1" applyFill="1" applyBorder="1"/>
    <xf numFmtId="170" fontId="9" fillId="4" borderId="1" xfId="0" applyNumberFormat="1" applyFont="1" applyFill="1" applyBorder="1"/>
    <xf numFmtId="170" fontId="9" fillId="7" borderId="1" xfId="0" applyNumberFormat="1" applyFont="1" applyFill="1" applyBorder="1"/>
    <xf numFmtId="173" fontId="9" fillId="7" borderId="1" xfId="0" applyNumberFormat="1" applyFont="1" applyFill="1" applyBorder="1"/>
    <xf numFmtId="0" fontId="7" fillId="8" borderId="1" xfId="0" applyFont="1" applyFill="1" applyBorder="1"/>
    <xf numFmtId="170" fontId="7" fillId="8" borderId="1" xfId="0" applyNumberFormat="1" applyFont="1" applyFill="1" applyBorder="1"/>
    <xf numFmtId="173" fontId="7" fillId="8" borderId="1" xfId="0" applyNumberFormat="1" applyFont="1" applyFill="1" applyBorder="1"/>
    <xf numFmtId="171" fontId="7" fillId="8" borderId="1" xfId="2" applyNumberFormat="1" applyFont="1" applyFill="1" applyBorder="1" applyProtection="1"/>
    <xf numFmtId="170" fontId="7" fillId="0" borderId="1" xfId="0" applyNumberFormat="1" applyFont="1" applyBorder="1"/>
    <xf numFmtId="173" fontId="7" fillId="5" borderId="1" xfId="0" applyNumberFormat="1" applyFont="1" applyFill="1" applyBorder="1"/>
    <xf numFmtId="173" fontId="7" fillId="0" borderId="1" xfId="0" applyNumberFormat="1" applyFont="1" applyBorder="1"/>
    <xf numFmtId="172" fontId="9" fillId="4" borderId="1" xfId="2" applyNumberFormat="1" applyFont="1" applyFill="1" applyBorder="1" applyProtection="1"/>
    <xf numFmtId="173" fontId="9" fillId="4" borderId="1" xfId="0" applyNumberFormat="1" applyFont="1" applyFill="1" applyBorder="1"/>
    <xf numFmtId="172" fontId="7" fillId="8" borderId="1" xfId="2" applyNumberFormat="1" applyFont="1" applyFill="1" applyBorder="1" applyProtection="1"/>
    <xf numFmtId="172" fontId="7" fillId="0" borderId="1" xfId="2" applyNumberFormat="1" applyFont="1" applyBorder="1" applyProtection="1"/>
    <xf numFmtId="164" fontId="7" fillId="3" borderId="6" xfId="2" applyNumberFormat="1" applyFont="1" applyFill="1" applyBorder="1" applyAlignment="1" applyProtection="1">
      <alignment horizontal="center" vertical="center" wrapText="1"/>
    </xf>
    <xf numFmtId="164" fontId="7" fillId="0" borderId="1" xfId="2" applyNumberFormat="1" applyFont="1" applyBorder="1" applyAlignment="1" applyProtection="1">
      <alignment horizontal="left"/>
    </xf>
    <xf numFmtId="171" fontId="7" fillId="0" borderId="1" xfId="0" applyNumberFormat="1" applyFont="1" applyBorder="1" applyAlignment="1"/>
    <xf numFmtId="165" fontId="7" fillId="5" borderId="1" xfId="2" applyNumberFormat="1" applyFont="1" applyFill="1" applyBorder="1" applyProtection="1"/>
    <xf numFmtId="171" fontId="8" fillId="5" borderId="1" xfId="4" applyNumberFormat="1" applyFont="1" applyFill="1" applyBorder="1" applyAlignment="1" applyProtection="1"/>
    <xf numFmtId="164" fontId="7" fillId="4" borderId="1" xfId="2" applyNumberFormat="1" applyFont="1" applyFill="1" applyBorder="1" applyAlignment="1" applyProtection="1">
      <alignment horizontal="left"/>
    </xf>
    <xf numFmtId="168" fontId="7" fillId="4" borderId="1" xfId="2" applyNumberFormat="1" applyFont="1" applyFill="1" applyBorder="1" applyProtection="1"/>
    <xf numFmtId="165" fontId="8" fillId="4" borderId="1" xfId="0" applyNumberFormat="1" applyFont="1" applyFill="1" applyBorder="1" applyAlignment="1"/>
    <xf numFmtId="170" fontId="7" fillId="4" borderId="1" xfId="2" applyNumberFormat="1" applyFont="1" applyFill="1" applyBorder="1" applyProtection="1"/>
    <xf numFmtId="171" fontId="8" fillId="4" borderId="1" xfId="4" applyNumberFormat="1" applyFont="1" applyFill="1" applyBorder="1" applyAlignment="1" applyProtection="1"/>
    <xf numFmtId="0" fontId="15" fillId="3" borderId="1" xfId="0" applyFont="1" applyFill="1" applyBorder="1" applyAlignment="1">
      <alignment horizontal="center"/>
    </xf>
    <xf numFmtId="171" fontId="9" fillId="7" borderId="1" xfId="4" applyNumberFormat="1" applyFont="1" applyFill="1" applyBorder="1" applyAlignment="1" applyProtection="1"/>
    <xf numFmtId="174" fontId="7" fillId="0" borderId="0" xfId="0" applyNumberFormat="1" applyFont="1" applyBorder="1" applyAlignment="1"/>
    <xf numFmtId="0" fontId="7" fillId="0" borderId="0" xfId="0" applyFont="1" applyFill="1"/>
    <xf numFmtId="0" fontId="14" fillId="0" borderId="0" xfId="0" applyFont="1" applyFill="1"/>
    <xf numFmtId="0" fontId="9" fillId="0" borderId="0" xfId="0" applyFont="1" applyFill="1"/>
    <xf numFmtId="164" fontId="9" fillId="0" borderId="1" xfId="2" applyNumberFormat="1" applyFont="1" applyBorder="1" applyAlignment="1" applyProtection="1"/>
    <xf numFmtId="164" fontId="7" fillId="5" borderId="1" xfId="2" applyNumberFormat="1" applyFont="1" applyFill="1" applyBorder="1" applyAlignment="1" applyProtection="1"/>
    <xf numFmtId="164" fontId="7" fillId="5" borderId="1" xfId="2" applyNumberFormat="1" applyFont="1" applyFill="1" applyBorder="1" applyAlignment="1" applyProtection="1">
      <alignment vertical="center"/>
    </xf>
    <xf numFmtId="177" fontId="7" fillId="5" borderId="1" xfId="2" applyFont="1" applyFill="1" applyBorder="1" applyAlignment="1" applyProtection="1">
      <alignment vertical="center"/>
    </xf>
    <xf numFmtId="0" fontId="6" fillId="2" borderId="1" xfId="0" applyFont="1" applyFill="1" applyBorder="1" applyAlignment="1">
      <alignment horizontal="center"/>
    </xf>
    <xf numFmtId="164" fontId="17" fillId="0" borderId="1" xfId="9" applyNumberFormat="1" applyFont="1" applyFill="1" applyBorder="1" applyAlignment="1" applyProtection="1"/>
    <xf numFmtId="0" fontId="1" fillId="0" borderId="1" xfId="0" applyFont="1" applyFill="1" applyBorder="1" applyAlignment="1">
      <alignment horizontal="left"/>
    </xf>
    <xf numFmtId="164" fontId="2" fillId="0" borderId="1" xfId="3" applyNumberFormat="1" applyFont="1" applyFill="1" applyBorder="1" applyAlignment="1" applyProtection="1"/>
    <xf numFmtId="0" fontId="1" fillId="0" borderId="1" xfId="0" applyFont="1" applyFill="1" applyBorder="1" applyAlignment="1">
      <alignment horizontal="left" wrapText="1"/>
    </xf>
    <xf numFmtId="0" fontId="5" fillId="0" borderId="0" xfId="0" applyFont="1" applyFill="1" applyBorder="1" applyAlignment="1">
      <alignment horizontal="center"/>
    </xf>
    <xf numFmtId="164" fontId="11" fillId="0" borderId="2" xfId="2" applyNumberFormat="1" applyFont="1" applyFill="1" applyBorder="1" applyAlignment="1" applyProtection="1">
      <alignment horizontal="center"/>
    </xf>
    <xf numFmtId="164" fontId="6" fillId="2" borderId="1" xfId="2" applyNumberFormat="1" applyFont="1" applyFill="1" applyBorder="1" applyAlignment="1" applyProtection="1">
      <alignment horizontal="center" wrapText="1"/>
    </xf>
    <xf numFmtId="0" fontId="0" fillId="0" borderId="1" xfId="0" applyFill="1" applyBorder="1"/>
    <xf numFmtId="164" fontId="7" fillId="3" borderId="1" xfId="2" applyNumberFormat="1" applyFont="1" applyFill="1" applyBorder="1" applyAlignment="1" applyProtection="1">
      <alignment horizontal="center"/>
    </xf>
    <xf numFmtId="169" fontId="7" fillId="3" borderId="1" xfId="2" applyNumberFormat="1" applyFont="1" applyFill="1" applyBorder="1" applyAlignment="1" applyProtection="1">
      <alignment horizontal="center"/>
    </xf>
    <xf numFmtId="0" fontId="8" fillId="3" borderId="1" xfId="0" applyFont="1" applyFill="1" applyBorder="1" applyAlignment="1">
      <alignment horizontal="center"/>
    </xf>
    <xf numFmtId="164" fontId="11" fillId="0" borderId="0" xfId="2" applyNumberFormat="1" applyFont="1" applyFill="1" applyBorder="1" applyAlignment="1" applyProtection="1">
      <alignment horizontal="center"/>
    </xf>
    <xf numFmtId="0" fontId="11" fillId="0" borderId="2" xfId="0" applyFont="1" applyFill="1" applyBorder="1" applyAlignment="1">
      <alignment horizontal="center"/>
    </xf>
    <xf numFmtId="164" fontId="6" fillId="2" borderId="1" xfId="2" applyNumberFormat="1" applyFont="1" applyFill="1" applyBorder="1" applyAlignment="1" applyProtection="1">
      <alignment horizontal="center"/>
    </xf>
    <xf numFmtId="164" fontId="7" fillId="3" borderId="1" xfId="2" applyNumberFormat="1" applyFont="1" applyFill="1" applyBorder="1" applyAlignment="1" applyProtection="1">
      <alignment horizontal="left" vertical="center"/>
    </xf>
    <xf numFmtId="164" fontId="7" fillId="3" borderId="1" xfId="2" applyNumberFormat="1" applyFont="1" applyFill="1" applyBorder="1" applyAlignment="1" applyProtection="1">
      <alignment vertical="center"/>
    </xf>
    <xf numFmtId="164" fontId="6" fillId="2" borderId="3" xfId="2" applyNumberFormat="1" applyFont="1" applyFill="1" applyBorder="1" applyAlignment="1" applyProtection="1">
      <alignment horizontal="center"/>
    </xf>
    <xf numFmtId="0" fontId="7" fillId="0" borderId="0" xfId="0" applyFont="1" applyFill="1" applyBorder="1" applyAlignment="1">
      <alignment horizontal="center"/>
    </xf>
    <xf numFmtId="0" fontId="7" fillId="3" borderId="1" xfId="0" applyFont="1" applyFill="1" applyBorder="1" applyAlignment="1">
      <alignment vertical="center"/>
    </xf>
    <xf numFmtId="0" fontId="7" fillId="3" borderId="1" xfId="0" applyFont="1" applyFill="1" applyBorder="1" applyAlignment="1">
      <alignment horizontal="left" vertical="center"/>
    </xf>
    <xf numFmtId="0" fontId="11" fillId="0" borderId="2" xfId="0" applyFont="1" applyFill="1" applyBorder="1" applyAlignment="1">
      <alignment horizontal="left"/>
    </xf>
    <xf numFmtId="0" fontId="7" fillId="3" borderId="1" xfId="0" applyFont="1" applyFill="1" applyBorder="1" applyAlignment="1">
      <alignment horizontal="center"/>
    </xf>
    <xf numFmtId="0" fontId="6" fillId="2" borderId="1" xfId="0" applyFont="1" applyFill="1" applyBorder="1" applyAlignment="1">
      <alignment horizontal="center" wrapText="1"/>
    </xf>
    <xf numFmtId="164" fontId="9" fillId="4" borderId="1" xfId="2" applyNumberFormat="1" applyFont="1" applyFill="1" applyBorder="1" applyAlignment="1" applyProtection="1"/>
    <xf numFmtId="164" fontId="7" fillId="0" borderId="0" xfId="2" applyNumberFormat="1" applyFont="1" applyFill="1" applyBorder="1" applyAlignment="1" applyProtection="1">
      <alignment horizontal="center"/>
    </xf>
    <xf numFmtId="170" fontId="7" fillId="3" borderId="1" xfId="2" applyNumberFormat="1" applyFont="1" applyFill="1" applyBorder="1" applyAlignment="1" applyProtection="1">
      <alignment horizontal="center" vertical="center" wrapText="1"/>
    </xf>
    <xf numFmtId="164" fontId="7" fillId="3" borderId="1" xfId="2" applyNumberFormat="1" applyFont="1" applyFill="1" applyBorder="1" applyAlignment="1" applyProtection="1">
      <alignment horizontal="center" vertical="center" wrapText="1"/>
    </xf>
    <xf numFmtId="0" fontId="11" fillId="0" borderId="0" xfId="0" applyFont="1" applyFill="1" applyBorder="1" applyAlignment="1">
      <alignment horizontal="center"/>
    </xf>
    <xf numFmtId="0" fontId="11" fillId="0" borderId="2" xfId="0" applyFont="1" applyFill="1" applyBorder="1" applyAlignment="1"/>
    <xf numFmtId="0" fontId="7" fillId="3" borderId="1" xfId="0" applyFont="1" applyFill="1" applyBorder="1" applyAlignment="1">
      <alignment horizontal="center" vertical="center" wrapText="1"/>
    </xf>
    <xf numFmtId="0" fontId="8" fillId="3" borderId="1" xfId="0" applyFont="1" applyFill="1" applyBorder="1" applyAlignment="1">
      <alignment horizontal="center" vertical="center" wrapText="1"/>
    </xf>
    <xf numFmtId="0" fontId="13" fillId="0" borderId="0" xfId="0" applyFont="1" applyFill="1" applyBorder="1" applyAlignment="1">
      <alignment horizontal="center"/>
    </xf>
    <xf numFmtId="0" fontId="13" fillId="0" borderId="2" xfId="0" applyFont="1" applyFill="1" applyBorder="1" applyAlignment="1">
      <alignment horizontal="center"/>
    </xf>
    <xf numFmtId="0" fontId="0" fillId="0" borderId="0" xfId="0" applyFill="1" applyBorder="1"/>
    <xf numFmtId="164" fontId="11" fillId="0" borderId="0" xfId="2" applyNumberFormat="1" applyFont="1" applyFill="1" applyBorder="1" applyAlignment="1" applyProtection="1"/>
  </cellXfs>
  <cellStyles count="10">
    <cellStyle name="Excel Built-in Comma" xfId="1" xr:uid="{00000000-0005-0000-0000-000000000000}"/>
    <cellStyle name="Excel Built-in Explanatory Text" xfId="2" xr:uid="{00000000-0005-0000-0000-000001000000}"/>
    <cellStyle name="Excel Built-in Hyperlink" xfId="3" xr:uid="{00000000-0005-0000-0000-000002000000}"/>
    <cellStyle name="Excel Built-in Percent" xfId="4" xr:uid="{00000000-0005-0000-0000-000003000000}"/>
    <cellStyle name="Heading" xfId="5" xr:uid="{00000000-0005-0000-0000-000004000000}"/>
    <cellStyle name="Heading1" xfId="6" xr:uid="{00000000-0005-0000-0000-000005000000}"/>
    <cellStyle name="Hipervínculo" xfId="9" builtinId="8"/>
    <cellStyle name="Normal" xfId="0" builtinId="0" customBuiltin="1"/>
    <cellStyle name="Result" xfId="7" xr:uid="{00000000-0005-0000-0000-000007000000}"/>
    <cellStyle name="Result2" xfId="8" xr:uid="{00000000-0005-0000-0000-000008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tyles" Target="styles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c:style val="2"/>
  <c:chart>
    <c:title>
      <c:tx>
        <c:rich>
          <a:bodyPr/>
          <a:lstStyle/>
          <a:p>
            <a:pPr>
              <a:defRPr sz="700" b="1">
                <a:solidFill>
                  <a:srgbClr val="000000"/>
                </a:solidFill>
              </a:defRPr>
            </a:pPr>
            <a:r>
              <a:rPr lang="es-ES"/>
              <a:t>Gràfic I-10.1. Evolució del pressupost de la CAIB i percentatge de variació interanual (2001-2020)</a:t>
            </a:r>
          </a:p>
        </c:rich>
      </c:tx>
      <c:layout>
        <c:manualLayout>
          <c:xMode val="edge"/>
          <c:yMode val="edge"/>
          <c:x val="0.1035467223015263"/>
          <c:y val="6.8293408718940629E-2"/>
        </c:manualLayout>
      </c:layout>
      <c:overlay val="0"/>
    </c:title>
    <c:autoTitleDeleted val="0"/>
    <c:plotArea>
      <c:layout>
        <c:manualLayout>
          <c:xMode val="edge"/>
          <c:yMode val="edge"/>
          <c:x val="4.1781047545843851E-2"/>
          <c:y val="0.22943014432376135"/>
          <c:w val="0.92115939509290778"/>
          <c:h val="0.67891682785299801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'G1'!$B$2:$B$2</c:f>
              <c:strCache>
                <c:ptCount val="1"/>
                <c:pt idx="0">
                  <c:v>Despesa (milions d'euros)</c:v>
                </c:pt>
              </c:strCache>
            </c:strRef>
          </c:tx>
          <c:spPr>
            <a:solidFill>
              <a:srgbClr val="A6A6A6"/>
            </a:solidFill>
          </c:spPr>
          <c:invertIfNegative val="0"/>
          <c:cat>
            <c:numRef>
              <c:f>'G1'!$A$3:$A$22</c:f>
              <c:numCache>
                <c:formatCode>[$-C0A]General</c:formatCode>
                <c:ptCount val="20"/>
                <c:pt idx="0">
                  <c:v>2001</c:v>
                </c:pt>
                <c:pt idx="1">
                  <c:v>2002</c:v>
                </c:pt>
                <c:pt idx="2">
                  <c:v>2003</c:v>
                </c:pt>
                <c:pt idx="3">
                  <c:v>2004</c:v>
                </c:pt>
                <c:pt idx="4">
                  <c:v>2005</c:v>
                </c:pt>
                <c:pt idx="5">
                  <c:v>2006</c:v>
                </c:pt>
                <c:pt idx="6">
                  <c:v>2007</c:v>
                </c:pt>
                <c:pt idx="7">
                  <c:v>2008</c:v>
                </c:pt>
                <c:pt idx="8">
                  <c:v>2009</c:v>
                </c:pt>
                <c:pt idx="9">
                  <c:v>2010</c:v>
                </c:pt>
                <c:pt idx="10">
                  <c:v>2011</c:v>
                </c:pt>
                <c:pt idx="11">
                  <c:v>2012</c:v>
                </c:pt>
                <c:pt idx="12">
                  <c:v>2013</c:v>
                </c:pt>
                <c:pt idx="13">
                  <c:v>2014</c:v>
                </c:pt>
                <c:pt idx="14">
                  <c:v>2015</c:v>
                </c:pt>
                <c:pt idx="15">
                  <c:v>2016</c:v>
                </c:pt>
                <c:pt idx="16">
                  <c:v>2017</c:v>
                </c:pt>
                <c:pt idx="17">
                  <c:v>2018</c:v>
                </c:pt>
                <c:pt idx="18">
                  <c:v>2019</c:v>
                </c:pt>
                <c:pt idx="19">
                  <c:v>2020</c:v>
                </c:pt>
              </c:numCache>
            </c:numRef>
          </c:cat>
          <c:val>
            <c:numRef>
              <c:f>'G1'!$B$3:$B$22</c:f>
              <c:numCache>
                <c:formatCode>[$-C0A]#,##0</c:formatCode>
                <c:ptCount val="20"/>
                <c:pt idx="0">
                  <c:v>950.49198000000001</c:v>
                </c:pt>
                <c:pt idx="1">
                  <c:v>1069.8025399999999</c:v>
                </c:pt>
                <c:pt idx="2">
                  <c:v>1796.61</c:v>
                </c:pt>
                <c:pt idx="3">
                  <c:v>1859.18568</c:v>
                </c:pt>
                <c:pt idx="4">
                  <c:v>2587.788967</c:v>
                </c:pt>
                <c:pt idx="5">
                  <c:v>2713.9744599999999</c:v>
                </c:pt>
                <c:pt idx="6">
                  <c:v>2894.3845900000001</c:v>
                </c:pt>
                <c:pt idx="7">
                  <c:v>3787.2672600000001</c:v>
                </c:pt>
                <c:pt idx="8">
                  <c:v>4037.4755500000001</c:v>
                </c:pt>
                <c:pt idx="9">
                  <c:v>3844.7977639999999</c:v>
                </c:pt>
                <c:pt idx="10">
                  <c:v>3384.4302750000002</c:v>
                </c:pt>
                <c:pt idx="11">
                  <c:v>3674.9023219999999</c:v>
                </c:pt>
                <c:pt idx="12">
                  <c:v>3574.2468709999998</c:v>
                </c:pt>
                <c:pt idx="13">
                  <c:v>3850.9335179999998</c:v>
                </c:pt>
                <c:pt idx="14">
                  <c:v>4035.5919520000002</c:v>
                </c:pt>
                <c:pt idx="15">
                  <c:v>4240.8966979999996</c:v>
                </c:pt>
                <c:pt idx="16">
                  <c:v>4668.2358940000004</c:v>
                </c:pt>
                <c:pt idx="17">
                  <c:v>5008.8091000000004</c:v>
                </c:pt>
                <c:pt idx="18">
                  <c:v>5457.7486399999998</c:v>
                </c:pt>
                <c:pt idx="19">
                  <c:v>5869.8878699999996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56A-4290-8625-34D7C7F3866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4"/>
        <c:axId val="1140808736"/>
        <c:axId val="1146890288"/>
      </c:barChart>
      <c:lineChart>
        <c:grouping val="standard"/>
        <c:varyColors val="0"/>
        <c:ser>
          <c:idx val="1"/>
          <c:order val="1"/>
          <c:tx>
            <c:strRef>
              <c:f>'G1'!$C$2:$C$2</c:f>
              <c:strCache>
                <c:ptCount val="1"/>
                <c:pt idx="0">
                  <c:v>% de variació interanual</c:v>
                </c:pt>
              </c:strCache>
            </c:strRef>
          </c:tx>
          <c:spPr>
            <a:ln w="28440">
              <a:solidFill>
                <a:srgbClr val="FFC000"/>
              </a:solidFill>
            </a:ln>
          </c:spPr>
          <c:marker>
            <c:symbol val="none"/>
          </c:marker>
          <c:val>
            <c:numRef>
              <c:f>'G1'!$C$3:$C$22</c:f>
              <c:numCache>
                <c:formatCode>0.0%</c:formatCode>
                <c:ptCount val="20"/>
                <c:pt idx="0">
                  <c:v>7.08461330850918E-2</c:v>
                </c:pt>
                <c:pt idx="1">
                  <c:v>0.12552505703414801</c:v>
                </c:pt>
                <c:pt idx="2">
                  <c:v>0.67938468345756597</c:v>
                </c:pt>
                <c:pt idx="3">
                  <c:v>3.4829862908477602E-2</c:v>
                </c:pt>
                <c:pt idx="4">
                  <c:v>0.39189377093308903</c:v>
                </c:pt>
                <c:pt idx="5">
                  <c:v>4.8761894655685797E-2</c:v>
                </c:pt>
                <c:pt idx="6">
                  <c:v>6.6474512807316505E-2</c:v>
                </c:pt>
                <c:pt idx="7">
                  <c:v>0.30848791590615798</c:v>
                </c:pt>
                <c:pt idx="8">
                  <c:v>6.6065654421230399E-2</c:v>
                </c:pt>
                <c:pt idx="9">
                  <c:v>-4.77223412535588E-2</c:v>
                </c:pt>
                <c:pt idx="10">
                  <c:v>-0.119737764443831</c:v>
                </c:pt>
                <c:pt idx="11">
                  <c:v>8.5825980563301901E-2</c:v>
                </c:pt>
                <c:pt idx="12">
                  <c:v>-2.7389966366567299E-2</c:v>
                </c:pt>
                <c:pt idx="13">
                  <c:v>7.7411174153896298E-2</c:v>
                </c:pt>
                <c:pt idx="14">
                  <c:v>4.7951602679420703E-2</c:v>
                </c:pt>
                <c:pt idx="15">
                  <c:v>5.0873514577769202E-2</c:v>
                </c:pt>
                <c:pt idx="16">
                  <c:v>0.100766235641046</c:v>
                </c:pt>
                <c:pt idx="17">
                  <c:v>7.2955440498996896E-2</c:v>
                </c:pt>
                <c:pt idx="18">
                  <c:v>8.9629996080305793E-2</c:v>
                </c:pt>
                <c:pt idx="19">
                  <c:v>7.5514512885298396E-2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56A-4290-8625-34D7C7F38660}"/>
            </c:ext>
          </c:extLst>
        </c:ser>
        <c:ser>
          <c:idx val="2"/>
          <c:order val="2"/>
          <c:tx>
            <c:strRef>
              <c:f>'G1'!$D$2:$D$2</c:f>
              <c:strCache>
                <c:ptCount val="1"/>
                <c:pt idx="0">
                  <c:v>% sobre el PIB</c:v>
                </c:pt>
              </c:strCache>
            </c:strRef>
          </c:tx>
          <c:spPr>
            <a:ln w="28440">
              <a:solidFill>
                <a:srgbClr val="98B855"/>
              </a:solidFill>
            </a:ln>
          </c:spPr>
          <c:marker>
            <c:symbol val="none"/>
          </c:marker>
          <c:val>
            <c:numRef>
              <c:f>'G1'!$D$3:$D$22</c:f>
              <c:numCache>
                <c:formatCode>0.0%</c:formatCode>
                <c:ptCount val="20"/>
                <c:pt idx="0">
                  <c:v>5.3429321798273602E-2</c:v>
                </c:pt>
                <c:pt idx="1">
                  <c:v>5.6964663887981902E-2</c:v>
                </c:pt>
                <c:pt idx="2">
                  <c:v>9.1231135125121904E-2</c:v>
                </c:pt>
                <c:pt idx="3">
                  <c:v>8.8600785432569107E-2</c:v>
                </c:pt>
                <c:pt idx="4">
                  <c:v>0.114490369990671</c:v>
                </c:pt>
                <c:pt idx="5">
                  <c:v>0.111094014952151</c:v>
                </c:pt>
                <c:pt idx="6">
                  <c:v>0.110705674789945</c:v>
                </c:pt>
                <c:pt idx="7">
                  <c:v>0.13926918952265099</c:v>
                </c:pt>
                <c:pt idx="8">
                  <c:v>0.15437822745650301</c:v>
                </c:pt>
                <c:pt idx="9">
                  <c:v>0.146778493609245</c:v>
                </c:pt>
                <c:pt idx="10">
                  <c:v>0.13001988217639401</c:v>
                </c:pt>
                <c:pt idx="11">
                  <c:v>0.143290558905351</c:v>
                </c:pt>
                <c:pt idx="12">
                  <c:v>0.14012265534712701</c:v>
                </c:pt>
                <c:pt idx="13">
                  <c:v>0.146419508525367</c:v>
                </c:pt>
                <c:pt idx="14">
                  <c:v>0.14612316263497699</c:v>
                </c:pt>
                <c:pt idx="15">
                  <c:v>0.145564575988997</c:v>
                </c:pt>
                <c:pt idx="16">
                  <c:v>0.15337926244993599</c:v>
                </c:pt>
                <c:pt idx="17">
                  <c:v>0.15905642885559301</c:v>
                </c:pt>
                <c:pt idx="18">
                  <c:v>0.168713283027491</c:v>
                </c:pt>
                <c:pt idx="19">
                  <c:v>0.1961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556A-4290-8625-34D7C7F3866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40801136"/>
        <c:axId val="1146873232"/>
      </c:lineChart>
      <c:valAx>
        <c:axId val="1146890288"/>
        <c:scaling>
          <c:orientation val="minMax"/>
        </c:scaling>
        <c:delete val="0"/>
        <c:axPos val="l"/>
        <c:majorGridlines>
          <c:spPr>
            <a:ln w="9360">
              <a:solidFill>
                <a:srgbClr val="D9D9D9"/>
              </a:solidFill>
            </a:ln>
          </c:spPr>
        </c:majorGridlines>
        <c:numFmt formatCode="#.##0" sourceLinked="0"/>
        <c:majorTickMark val="none"/>
        <c:minorTickMark val="none"/>
        <c:tickLblPos val="nextTo"/>
        <c:spPr>
          <a:ln w="9360">
            <a:solidFill>
              <a:srgbClr val="000000"/>
            </a:solidFill>
          </a:ln>
        </c:spPr>
        <c:txPr>
          <a:bodyPr/>
          <a:lstStyle/>
          <a:p>
            <a:pPr>
              <a:defRPr sz="700" b="0">
                <a:solidFill>
                  <a:srgbClr val="000000"/>
                </a:solidFill>
              </a:defRPr>
            </a:pPr>
            <a:endParaRPr lang="ca-ES"/>
          </a:p>
        </c:txPr>
        <c:crossAx val="1140808736"/>
        <c:crossesAt val="0"/>
        <c:crossBetween val="between"/>
      </c:valAx>
      <c:catAx>
        <c:axId val="1140808736"/>
        <c:scaling>
          <c:orientation val="minMax"/>
        </c:scaling>
        <c:delete val="0"/>
        <c:axPos val="b"/>
        <c:numFmt formatCode="[$-C0A]General" sourceLinked="1"/>
        <c:majorTickMark val="none"/>
        <c:minorTickMark val="none"/>
        <c:tickLblPos val="nextTo"/>
        <c:spPr>
          <a:ln w="9360">
            <a:solidFill>
              <a:srgbClr val="000000"/>
            </a:solidFill>
          </a:ln>
        </c:spPr>
        <c:txPr>
          <a:bodyPr/>
          <a:lstStyle/>
          <a:p>
            <a:pPr>
              <a:defRPr sz="700" b="0">
                <a:solidFill>
                  <a:srgbClr val="000000"/>
                </a:solidFill>
              </a:defRPr>
            </a:pPr>
            <a:endParaRPr lang="ca-ES"/>
          </a:p>
        </c:txPr>
        <c:crossAx val="1146890288"/>
        <c:crossesAt val="0"/>
        <c:auto val="1"/>
        <c:lblAlgn val="ctr"/>
        <c:lblOffset val="100"/>
        <c:noMultiLvlLbl val="0"/>
      </c:catAx>
      <c:valAx>
        <c:axId val="1146873232"/>
        <c:scaling>
          <c:orientation val="minMax"/>
        </c:scaling>
        <c:delete val="0"/>
        <c:axPos val="r"/>
        <c:numFmt formatCode="0%" sourceLinked="0"/>
        <c:majorTickMark val="none"/>
        <c:minorTickMark val="none"/>
        <c:tickLblPos val="nextTo"/>
        <c:spPr>
          <a:ln>
            <a:noFill/>
          </a:ln>
        </c:spPr>
        <c:txPr>
          <a:bodyPr/>
          <a:lstStyle/>
          <a:p>
            <a:pPr>
              <a:defRPr sz="700" b="0">
                <a:solidFill>
                  <a:srgbClr val="000000"/>
                </a:solidFill>
              </a:defRPr>
            </a:pPr>
            <a:endParaRPr lang="ca-ES"/>
          </a:p>
        </c:txPr>
        <c:crossAx val="1140801136"/>
        <c:crosses val="max"/>
        <c:crossBetween val="between"/>
        <c:majorUnit val="0.2"/>
      </c:valAx>
      <c:catAx>
        <c:axId val="1140801136"/>
        <c:scaling>
          <c:orientation val="minMax"/>
        </c:scaling>
        <c:delete val="1"/>
        <c:axPos val="b"/>
        <c:numFmt formatCode="[$-1000C0A]General" sourceLinked="1"/>
        <c:majorTickMark val="none"/>
        <c:minorTickMark val="none"/>
        <c:tickLblPos val="nextTo"/>
        <c:crossAx val="1146873232"/>
        <c:crossesAt val="0"/>
        <c:auto val="1"/>
        <c:lblAlgn val="ctr"/>
        <c:lblOffset val="100"/>
        <c:noMultiLvlLbl val="0"/>
      </c:catAx>
      <c:spPr>
        <a:noFill/>
        <a:ln>
          <a:solidFill>
            <a:srgbClr val="A6A6A6"/>
          </a:solidFill>
          <a:prstDash val="solid"/>
        </a:ln>
      </c:spPr>
    </c:plotArea>
    <c:legend>
      <c:legendPos val="t"/>
      <c:overlay val="0"/>
      <c:spPr>
        <a:noFill/>
        <a:ln>
          <a:noFill/>
        </a:ln>
      </c:spPr>
      <c:txPr>
        <a:bodyPr/>
        <a:lstStyle/>
        <a:p>
          <a:pPr>
            <a:defRPr sz="1000" b="0">
              <a:solidFill>
                <a:srgbClr val="000000"/>
              </a:solidFill>
              <a:latin typeface="Calibri"/>
            </a:defRPr>
          </a:pPr>
          <a:endParaRPr lang="ca-ES"/>
        </a:p>
      </c:txPr>
    </c:legend>
    <c:plotVisOnly val="1"/>
    <c:dispBlanksAs val="gap"/>
    <c:showDLblsOverMax val="0"/>
  </c:chart>
  <c:spPr>
    <a:ln w="9360">
      <a:solidFill>
        <a:srgbClr val="000000"/>
      </a:solidFill>
      <a:prstDash val="solid"/>
    </a:ln>
  </c:sp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c:style val="2"/>
  <c:chart>
    <c:title>
      <c:tx>
        <c:rich>
          <a:bodyPr/>
          <a:lstStyle/>
          <a:p>
            <a:pPr>
              <a:defRPr sz="700" b="1">
                <a:solidFill>
                  <a:srgbClr val="000000"/>
                </a:solidFill>
                <a:ea typeface="Arial"/>
              </a:defRPr>
            </a:pPr>
            <a:r>
              <a:rPr lang="es-ES"/>
              <a:t>Gràfic I-10.2. Càrrega fiscal per administracions a les Illes Balears (2020)</a:t>
            </a:r>
          </a:p>
        </c:rich>
      </c:tx>
      <c:layout>
        <c:manualLayout>
          <c:xMode val="edge"/>
          <c:yMode val="edge"/>
          <c:x val="0.11791771923493324"/>
          <c:y val="7.6498572787821115E-2"/>
        </c:manualLayout>
      </c:layout>
      <c:overlay val="0"/>
    </c:title>
    <c:autoTitleDeleted val="0"/>
    <c:view3D>
      <c:rotX val="15"/>
      <c:rotY val="90"/>
      <c:rAngAx val="0"/>
      <c:perspective val="0"/>
    </c:view3D>
    <c:floor>
      <c:thickness val="0"/>
      <c:spPr>
        <a:solidFill>
          <a:srgbClr val="D9D9D9"/>
        </a:solidFill>
      </c:spPr>
    </c:floor>
    <c:sideWall>
      <c:thickness val="0"/>
      <c:spPr>
        <a:solidFill>
          <a:srgbClr val="D9D9D9"/>
        </a:solidFill>
      </c:spPr>
    </c:sideWall>
    <c:backWall>
      <c:thickness val="0"/>
      <c:spPr>
        <a:solidFill>
          <a:srgbClr val="D9D9D9"/>
        </a:solidFill>
      </c:spPr>
    </c:backWall>
    <c:plotArea>
      <c:layout/>
      <c:pie3DChart>
        <c:varyColors val="1"/>
        <c:ser>
          <c:idx val="0"/>
          <c:order val="0"/>
          <c:tx>
            <c:strRef>
              <c:f>'G2'!$B$2:$B$2</c:f>
              <c:strCache>
                <c:ptCount val="1"/>
                <c:pt idx="0">
                  <c:v>%</c:v>
                </c:pt>
              </c:strCache>
            </c:strRef>
          </c:tx>
          <c:explosion val="25"/>
          <c:dPt>
            <c:idx val="0"/>
            <c:bubble3D val="0"/>
            <c:spPr>
              <a:solidFill>
                <a:srgbClr val="C0C0C0"/>
              </a:solidFill>
            </c:spPr>
            <c:extLst>
              <c:ext xmlns:c16="http://schemas.microsoft.com/office/drawing/2014/chart" uri="{C3380CC4-5D6E-409C-BE32-E72D297353CC}">
                <c16:uniqueId val="{00000000-E17B-4813-8F4F-93C894B2AAAD}"/>
              </c:ext>
            </c:extLst>
          </c:dPt>
          <c:dPt>
            <c:idx val="1"/>
            <c:bubble3D val="0"/>
            <c:spPr>
              <a:solidFill>
                <a:srgbClr val="FFCC00"/>
              </a:solidFill>
            </c:spPr>
            <c:extLst>
              <c:ext xmlns:c16="http://schemas.microsoft.com/office/drawing/2014/chart" uri="{C3380CC4-5D6E-409C-BE32-E72D297353CC}">
                <c16:uniqueId val="{00000001-E17B-4813-8F4F-93C894B2AAAD}"/>
              </c:ext>
            </c:extLst>
          </c:dPt>
          <c:dPt>
            <c:idx val="2"/>
            <c:bubble3D val="0"/>
            <c:spPr>
              <a:solidFill>
                <a:srgbClr val="FFFFCC"/>
              </a:solidFill>
            </c:spPr>
            <c:extLst>
              <c:ext xmlns:c16="http://schemas.microsoft.com/office/drawing/2014/chart" uri="{C3380CC4-5D6E-409C-BE32-E72D297353CC}">
                <c16:uniqueId val="{00000002-E17B-4813-8F4F-93C894B2AAAD}"/>
              </c:ext>
            </c:extLst>
          </c:dPt>
          <c:dLbls>
            <c:numFmt formatCode="[$-1000C0A]#,000%" sourceLinked="0"/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700" b="0">
                    <a:solidFill>
                      <a:srgbClr val="000000"/>
                    </a:solidFill>
                    <a:cs typeface="Arial" pitchFamily="32"/>
                  </a:defRPr>
                </a:pPr>
                <a:endParaRPr lang="ca-ES"/>
              </a:p>
            </c:txPr>
            <c:dLblPos val="outEnd"/>
            <c:showLegendKey val="0"/>
            <c:showVal val="0"/>
            <c:showCatName val="1"/>
            <c:showSerName val="0"/>
            <c:showPercent val="1"/>
            <c:showBubbleSize val="0"/>
            <c:separator>;</c:separator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'G2'!$A$3:$A$5</c:f>
              <c:strCache>
                <c:ptCount val="3"/>
                <c:pt idx="0">
                  <c:v>Administració local</c:v>
                </c:pt>
                <c:pt idx="1">
                  <c:v>Administració autonòmica</c:v>
                </c:pt>
                <c:pt idx="2">
                  <c:v>Administració estatal</c:v>
                </c:pt>
              </c:strCache>
            </c:strRef>
          </c:cat>
          <c:val>
            <c:numRef>
              <c:f>'G2'!$B$3:$B$5</c:f>
              <c:numCache>
                <c:formatCode>[$-C0A]0.00%</c:formatCode>
                <c:ptCount val="3"/>
                <c:pt idx="0">
                  <c:v>0.10852465456261599</c:v>
                </c:pt>
                <c:pt idx="1">
                  <c:v>0.49358095872284302</c:v>
                </c:pt>
                <c:pt idx="2">
                  <c:v>0.39789438671454103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E8A6-40C7-94C4-71C8618EBF5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</c:plotArea>
    <c:plotVisOnly val="1"/>
    <c:dispBlanksAs val="gap"/>
    <c:showDLblsOverMax val="0"/>
  </c:chart>
  <c:spPr>
    <a:ln w="3240">
      <a:solidFill>
        <a:srgbClr val="000000"/>
      </a:solidFill>
      <a:prstDash val="solid"/>
    </a:ln>
  </c:sp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c:style val="2"/>
  <c:chart>
    <c:title>
      <c:tx>
        <c:rich>
          <a:bodyPr/>
          <a:lstStyle/>
          <a:p>
            <a:pPr>
              <a:defRPr sz="700" b="1">
                <a:solidFill>
                  <a:srgbClr val="000000"/>
                </a:solidFill>
                <a:ea typeface="Arial"/>
              </a:defRPr>
            </a:pPr>
            <a:r>
              <a:rPr lang="es-ES"/>
              <a:t>Gràfic I-10.3. Pressió fiscal per CA: diferència respecte a la mitjana nacional en punts percentuals (2020)</a:t>
            </a:r>
          </a:p>
        </c:rich>
      </c:tx>
      <c:layout>
        <c:manualLayout>
          <c:xMode val="edge"/>
          <c:yMode val="edge"/>
          <c:x val="0.12403828110339653"/>
          <c:y val="3.3670606240965906E-2"/>
        </c:manualLayout>
      </c:layout>
      <c:overlay val="0"/>
    </c:title>
    <c:autoTitleDeleted val="0"/>
    <c:plotArea>
      <c:layout>
        <c:manualLayout>
          <c:xMode val="edge"/>
          <c:yMode val="edge"/>
          <c:x val="0.16912178645149184"/>
          <c:y val="0.13612788028228892"/>
          <c:w val="0.76205667104522423"/>
          <c:h val="0.81914779544445393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rgbClr val="C0C0C0"/>
            </a:solidFill>
            <a:ln w="12600">
              <a:solidFill>
                <a:srgbClr val="000000"/>
              </a:solidFill>
            </a:ln>
          </c:spPr>
          <c:invertIfNegative val="0"/>
          <c:dLbls>
            <c:numFmt formatCode="0" sourceLinked="0"/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>
                    <a:solidFill>
                      <a:srgbClr val="000000"/>
                    </a:solidFill>
                    <a:latin typeface="Calibri"/>
                  </a:defRPr>
                </a:pPr>
                <a:endParaRPr lang="ca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eparator>;</c:separator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'G3'!$A$2:$A$21</c:f>
              <c:strCache>
                <c:ptCount val="20"/>
                <c:pt idx="0">
                  <c:v>Illes Balears</c:v>
                </c:pt>
                <c:pt idx="1">
                  <c:v>Cantàbria</c:v>
                </c:pt>
                <c:pt idx="2">
                  <c:v>Astúries</c:v>
                </c:pt>
                <c:pt idx="3">
                  <c:v>Comunitat Valenciana</c:v>
                </c:pt>
                <c:pt idx="4">
                  <c:v>País Basc</c:v>
                </c:pt>
                <c:pt idx="5">
                  <c:v>Catalunya</c:v>
                </c:pt>
                <c:pt idx="6">
                  <c:v>Andalusia</c:v>
                </c:pt>
                <c:pt idx="7">
                  <c:v>Mitjana Nacional</c:v>
                </c:pt>
                <c:pt idx="8">
                  <c:v>Madrid</c:v>
                </c:pt>
                <c:pt idx="9">
                  <c:v>Castella-la Manxa</c:v>
                </c:pt>
                <c:pt idx="10">
                  <c:v>Castella i Lleó</c:v>
                </c:pt>
                <c:pt idx="11">
                  <c:v>Aragó</c:v>
                </c:pt>
                <c:pt idx="12">
                  <c:v>Extremadura</c:v>
                </c:pt>
                <c:pt idx="13">
                  <c:v>Múrcia</c:v>
                </c:pt>
                <c:pt idx="14">
                  <c:v>Galícia</c:v>
                </c:pt>
                <c:pt idx="15">
                  <c:v>La Rioja</c:v>
                </c:pt>
                <c:pt idx="16">
                  <c:v>Illes Canàries</c:v>
                </c:pt>
                <c:pt idx="17">
                  <c:v>Navarra</c:v>
                </c:pt>
                <c:pt idx="18">
                  <c:v>Ceuta</c:v>
                </c:pt>
                <c:pt idx="19">
                  <c:v>Melilla</c:v>
                </c:pt>
              </c:strCache>
            </c:strRef>
          </c:cat>
          <c:val>
            <c:numRef>
              <c:f>'G3'!$B$2:$B$21</c:f>
              <c:numCache>
                <c:formatCode>0.0</c:formatCode>
                <c:ptCount val="20"/>
                <c:pt idx="0">
                  <c:v>5.34956819795981</c:v>
                </c:pt>
                <c:pt idx="1">
                  <c:v>2.6693296926410102</c:v>
                </c:pt>
                <c:pt idx="2">
                  <c:v>2.5507648862744299</c:v>
                </c:pt>
                <c:pt idx="3">
                  <c:v>1.9031818864793899</c:v>
                </c:pt>
                <c:pt idx="4">
                  <c:v>1.4913079451217499</c:v>
                </c:pt>
                <c:pt idx="5">
                  <c:v>0.63209486116023705</c:v>
                </c:pt>
                <c:pt idx="6">
                  <c:v>0.57844381795142397</c:v>
                </c:pt>
                <c:pt idx="7">
                  <c:v>0</c:v>
                </c:pt>
                <c:pt idx="8">
                  <c:v>-0.48593657753352498</c:v>
                </c:pt>
                <c:pt idx="9">
                  <c:v>-0.57210465732896498</c:v>
                </c:pt>
                <c:pt idx="10">
                  <c:v>-0.68269767023100303</c:v>
                </c:pt>
                <c:pt idx="11">
                  <c:v>-1.1100860528177801</c:v>
                </c:pt>
                <c:pt idx="12">
                  <c:v>-1.1508915049581501</c:v>
                </c:pt>
                <c:pt idx="13">
                  <c:v>-1.6106874222643</c:v>
                </c:pt>
                <c:pt idx="14">
                  <c:v>-1.81179963045801</c:v>
                </c:pt>
                <c:pt idx="15">
                  <c:v>-2.38995974681227</c:v>
                </c:pt>
                <c:pt idx="16">
                  <c:v>-5.0015037647601801</c:v>
                </c:pt>
                <c:pt idx="17">
                  <c:v>-7.15387683902705</c:v>
                </c:pt>
                <c:pt idx="18">
                  <c:v>-13.3243935630362</c:v>
                </c:pt>
                <c:pt idx="19">
                  <c:v>-17.374155124890201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2D5-41AB-8019-3225649E6E3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0"/>
        <c:axId val="1140801936"/>
        <c:axId val="1146886544"/>
      </c:barChart>
      <c:valAx>
        <c:axId val="1146886544"/>
        <c:scaling>
          <c:orientation val="minMax"/>
          <c:min val="-20"/>
        </c:scaling>
        <c:delete val="0"/>
        <c:axPos val="b"/>
        <c:majorGridlines>
          <c:spPr>
            <a:ln w="3240">
              <a:solidFill>
                <a:srgbClr val="969696"/>
              </a:solidFill>
            </a:ln>
          </c:spPr>
        </c:majorGridlines>
        <c:numFmt formatCode="0" sourceLinked="0"/>
        <c:majorTickMark val="none"/>
        <c:minorTickMark val="none"/>
        <c:tickLblPos val="nextTo"/>
        <c:spPr>
          <a:ln w="3240">
            <a:solidFill>
              <a:srgbClr val="000000"/>
            </a:solidFill>
          </a:ln>
        </c:spPr>
        <c:txPr>
          <a:bodyPr/>
          <a:lstStyle/>
          <a:p>
            <a:pPr>
              <a:defRPr sz="675" b="0">
                <a:solidFill>
                  <a:srgbClr val="000000"/>
                </a:solidFill>
                <a:ea typeface="Arial"/>
              </a:defRPr>
            </a:pPr>
            <a:endParaRPr lang="ca-ES"/>
          </a:p>
        </c:txPr>
        <c:crossAx val="1140801936"/>
        <c:crosses val="max"/>
        <c:crossBetween val="between"/>
      </c:valAx>
      <c:catAx>
        <c:axId val="1140801936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low"/>
        <c:spPr>
          <a:ln w="3240">
            <a:solidFill>
              <a:srgbClr val="000000"/>
            </a:solidFill>
          </a:ln>
        </c:spPr>
        <c:txPr>
          <a:bodyPr/>
          <a:lstStyle/>
          <a:p>
            <a:pPr>
              <a:defRPr sz="675" b="0">
                <a:solidFill>
                  <a:srgbClr val="000000"/>
                </a:solidFill>
                <a:ea typeface="Arial"/>
              </a:defRPr>
            </a:pPr>
            <a:endParaRPr lang="ca-ES"/>
          </a:p>
        </c:txPr>
        <c:crossAx val="1146886544"/>
        <c:crossesAt val="0"/>
        <c:auto val="1"/>
        <c:lblAlgn val="ctr"/>
        <c:lblOffset val="100"/>
        <c:noMultiLvlLbl val="0"/>
      </c:catAx>
      <c:spPr>
        <a:solidFill>
          <a:srgbClr val="FFFFFF"/>
        </a:solidFill>
        <a:ln w="126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ln w="3240">
      <a:solidFill>
        <a:srgbClr val="000000"/>
      </a:solidFill>
      <a:prstDash val="solid"/>
    </a:ln>
  </c:sp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46080</xdr:colOff>
      <xdr:row>0</xdr:row>
      <xdr:rowOff>0</xdr:rowOff>
    </xdr:from>
    <xdr:ext cx="730799" cy="348480"/>
    <xdr:pic>
      <xdr:nvPicPr>
        <xdr:cNvPr id="2" name="Imagen 1">
          <a:extLst>
            <a:ext uri="{FF2B5EF4-FFF2-40B4-BE49-F238E27FC236}">
              <a16:creationId xmlns:a16="http://schemas.microsoft.com/office/drawing/2014/main" id="{B218870A-9F03-42B1-9EFC-2B965A061DC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lum/>
          <a:alphaModFix/>
        </a:blip>
        <a:srcRect/>
        <a:stretch>
          <a:fillRect/>
        </a:stretch>
      </xdr:blipFill>
      <xdr:spPr>
        <a:xfrm>
          <a:off x="46080" y="0"/>
          <a:ext cx="730799" cy="348480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510119</xdr:colOff>
      <xdr:row>2</xdr:row>
      <xdr:rowOff>1800</xdr:rowOff>
    </xdr:from>
    <xdr:ext cx="6556680" cy="2419200"/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4CD8F9FD-810B-4184-A130-42504D7866A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719280</xdr:colOff>
      <xdr:row>7</xdr:row>
      <xdr:rowOff>116640</xdr:rowOff>
    </xdr:from>
    <xdr:ext cx="3989880" cy="1891439"/>
    <xdr:graphicFrame macro="">
      <xdr:nvGraphicFramePr>
        <xdr:cNvPr id="2" name="Gráfico 2">
          <a:extLst>
            <a:ext uri="{FF2B5EF4-FFF2-40B4-BE49-F238E27FC236}">
              <a16:creationId xmlns:a16="http://schemas.microsoft.com/office/drawing/2014/main" id="{28310172-EC16-4906-B232-A7BD96F3F0B9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760319</xdr:colOff>
      <xdr:row>0</xdr:row>
      <xdr:rowOff>0</xdr:rowOff>
    </xdr:from>
    <xdr:ext cx="7673400" cy="4233600"/>
    <xdr:graphicFrame macro="">
      <xdr:nvGraphicFramePr>
        <xdr:cNvPr id="2" name="Gráfico 2">
          <a:extLst>
            <a:ext uri="{FF2B5EF4-FFF2-40B4-BE49-F238E27FC236}">
              <a16:creationId xmlns:a16="http://schemas.microsoft.com/office/drawing/2014/main" id="{5EBA5D4E-036E-4FEE-83EB-C3482ED8430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one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L27"/>
  <sheetViews>
    <sheetView tabSelected="1" workbookViewId="0">
      <selection activeCell="B1" sqref="B1"/>
    </sheetView>
  </sheetViews>
  <sheetFormatPr baseColWidth="10" defaultRowHeight="14.25" x14ac:dyDescent="0.2"/>
  <cols>
    <col min="1" max="3" width="9.875" customWidth="1"/>
    <col min="4" max="4" width="0.625" customWidth="1"/>
    <col min="5" max="11" width="9.875" customWidth="1"/>
    <col min="12" max="12" width="30.25" customWidth="1"/>
    <col min="13" max="1024" width="9.875" customWidth="1"/>
  </cols>
  <sheetData>
    <row r="2" spans="2:12" ht="15" x14ac:dyDescent="0.25">
      <c r="B2" s="171" t="s">
        <v>0</v>
      </c>
      <c r="C2" s="171"/>
      <c r="D2" s="171"/>
      <c r="E2" s="171"/>
      <c r="F2" s="171"/>
      <c r="G2" s="171"/>
      <c r="H2" s="171"/>
      <c r="I2" s="171"/>
      <c r="J2" s="171"/>
      <c r="K2" s="171"/>
      <c r="L2" s="171"/>
    </row>
    <row r="4" spans="2:12" x14ac:dyDescent="0.2">
      <c r="B4" s="166" t="s">
        <v>1</v>
      </c>
      <c r="C4" s="166"/>
      <c r="D4" s="166"/>
      <c r="E4" s="166"/>
      <c r="F4" s="166"/>
      <c r="G4" s="166"/>
      <c r="H4" s="166"/>
      <c r="I4" s="166"/>
      <c r="J4" s="166"/>
      <c r="K4" s="166"/>
      <c r="L4" s="166"/>
    </row>
    <row r="5" spans="2:12" x14ac:dyDescent="0.2">
      <c r="B5" s="167" t="s">
        <v>2</v>
      </c>
      <c r="C5" s="167"/>
      <c r="D5" s="167"/>
      <c r="E5" s="168" t="s">
        <v>3</v>
      </c>
      <c r="F5" s="168"/>
      <c r="G5" s="168"/>
      <c r="H5" s="168"/>
      <c r="I5" s="168"/>
      <c r="J5" s="168"/>
      <c r="K5" s="168"/>
      <c r="L5" s="168"/>
    </row>
    <row r="6" spans="2:12" ht="12.75" customHeight="1" x14ac:dyDescent="0.2">
      <c r="B6" s="169" t="s">
        <v>4</v>
      </c>
      <c r="C6" s="169"/>
      <c r="D6" s="169"/>
      <c r="E6" s="170" t="s">
        <v>5</v>
      </c>
      <c r="F6" s="170"/>
      <c r="G6" s="170"/>
      <c r="H6" s="170"/>
      <c r="I6" s="170"/>
      <c r="J6" s="170"/>
      <c r="K6" s="170"/>
      <c r="L6" s="170"/>
    </row>
    <row r="7" spans="2:12" x14ac:dyDescent="0.2">
      <c r="B7" s="169" t="s">
        <v>6</v>
      </c>
      <c r="C7" s="169"/>
      <c r="D7" s="169"/>
      <c r="E7" s="168" t="s">
        <v>7</v>
      </c>
      <c r="F7" s="168"/>
      <c r="G7" s="168"/>
      <c r="H7" s="168"/>
      <c r="I7" s="168"/>
      <c r="J7" s="168"/>
      <c r="K7" s="168"/>
      <c r="L7" s="168"/>
    </row>
    <row r="8" spans="2:12" x14ac:dyDescent="0.2">
      <c r="B8" s="167" t="s">
        <v>8</v>
      </c>
      <c r="C8" s="167"/>
      <c r="D8" s="167"/>
      <c r="E8" s="168" t="s">
        <v>9</v>
      </c>
      <c r="F8" s="168"/>
      <c r="G8" s="168"/>
      <c r="H8" s="168"/>
      <c r="I8" s="168"/>
      <c r="J8" s="168"/>
      <c r="K8" s="168"/>
      <c r="L8" s="168"/>
    </row>
    <row r="9" spans="2:12" x14ac:dyDescent="0.2">
      <c r="B9" s="167" t="s">
        <v>10</v>
      </c>
      <c r="C9" s="167"/>
      <c r="D9" s="167"/>
      <c r="E9" s="168" t="s">
        <v>11</v>
      </c>
      <c r="F9" s="168"/>
      <c r="G9" s="168"/>
      <c r="H9" s="168"/>
      <c r="I9" s="168"/>
      <c r="J9" s="168"/>
      <c r="K9" s="168"/>
      <c r="L9" s="168"/>
    </row>
    <row r="10" spans="2:12" x14ac:dyDescent="0.2">
      <c r="B10" s="167" t="s">
        <v>12</v>
      </c>
      <c r="C10" s="167"/>
      <c r="D10" s="167"/>
      <c r="E10" s="168" t="s">
        <v>13</v>
      </c>
      <c r="F10" s="168"/>
      <c r="G10" s="168"/>
      <c r="H10" s="168"/>
      <c r="I10" s="168"/>
      <c r="J10" s="168"/>
      <c r="K10" s="168"/>
      <c r="L10" s="168"/>
    </row>
    <row r="11" spans="2:12" x14ac:dyDescent="0.2">
      <c r="B11" s="167" t="s">
        <v>14</v>
      </c>
      <c r="C11" s="167"/>
      <c r="D11" s="167"/>
      <c r="E11" s="168" t="s">
        <v>15</v>
      </c>
      <c r="F11" s="168"/>
      <c r="G11" s="168"/>
      <c r="H11" s="168"/>
      <c r="I11" s="168"/>
      <c r="J11" s="168"/>
      <c r="K11" s="168"/>
      <c r="L11" s="168"/>
    </row>
    <row r="12" spans="2:12" x14ac:dyDescent="0.2">
      <c r="B12" s="167" t="s">
        <v>16</v>
      </c>
      <c r="C12" s="167"/>
      <c r="D12" s="167"/>
      <c r="E12" s="168" t="s">
        <v>17</v>
      </c>
      <c r="F12" s="168"/>
      <c r="G12" s="168"/>
      <c r="H12" s="168"/>
      <c r="I12" s="168"/>
      <c r="J12" s="168"/>
      <c r="K12" s="168"/>
      <c r="L12" s="168"/>
    </row>
    <row r="13" spans="2:12" x14ac:dyDescent="0.2">
      <c r="B13" s="167" t="s">
        <v>18</v>
      </c>
      <c r="C13" s="167"/>
      <c r="D13" s="167"/>
      <c r="E13" s="168" t="s">
        <v>19</v>
      </c>
      <c r="F13" s="168"/>
      <c r="G13" s="168"/>
      <c r="H13" s="168"/>
      <c r="I13" s="168"/>
      <c r="J13" s="168"/>
      <c r="K13" s="168"/>
      <c r="L13" s="168"/>
    </row>
    <row r="14" spans="2:12" x14ac:dyDescent="0.2">
      <c r="B14" s="167" t="s">
        <v>20</v>
      </c>
      <c r="C14" s="167"/>
      <c r="D14" s="167"/>
      <c r="E14" s="168" t="s">
        <v>21</v>
      </c>
      <c r="F14" s="168"/>
      <c r="G14" s="168"/>
      <c r="H14" s="168"/>
      <c r="I14" s="168"/>
      <c r="J14" s="168"/>
      <c r="K14" s="168"/>
      <c r="L14" s="168"/>
    </row>
    <row r="15" spans="2:12" x14ac:dyDescent="0.2">
      <c r="B15" s="167" t="s">
        <v>22</v>
      </c>
      <c r="C15" s="167"/>
      <c r="D15" s="167"/>
      <c r="E15" s="168" t="s">
        <v>23</v>
      </c>
      <c r="F15" s="168"/>
      <c r="G15" s="168"/>
      <c r="H15" s="168"/>
      <c r="I15" s="168"/>
      <c r="J15" s="168"/>
      <c r="K15" s="168"/>
      <c r="L15" s="168"/>
    </row>
    <row r="16" spans="2:12" x14ac:dyDescent="0.2">
      <c r="B16" s="167" t="s">
        <v>24</v>
      </c>
      <c r="C16" s="167"/>
      <c r="D16" s="167"/>
      <c r="E16" s="168" t="s">
        <v>25</v>
      </c>
      <c r="F16" s="168"/>
      <c r="G16" s="168"/>
      <c r="H16" s="168"/>
      <c r="I16" s="168"/>
      <c r="J16" s="168"/>
      <c r="K16" s="168"/>
      <c r="L16" s="168"/>
    </row>
    <row r="17" spans="2:12" ht="12.75" customHeight="1" x14ac:dyDescent="0.2">
      <c r="B17" s="167" t="s">
        <v>26</v>
      </c>
      <c r="C17" s="167"/>
      <c r="D17" s="167"/>
      <c r="E17" s="168" t="s">
        <v>27</v>
      </c>
      <c r="F17" s="168"/>
      <c r="G17" s="168"/>
      <c r="H17" s="168"/>
      <c r="I17" s="168"/>
      <c r="J17" s="168"/>
      <c r="K17" s="168"/>
      <c r="L17" s="168"/>
    </row>
    <row r="18" spans="2:12" x14ac:dyDescent="0.2">
      <c r="B18" s="167" t="s">
        <v>28</v>
      </c>
      <c r="C18" s="167"/>
      <c r="D18" s="167"/>
      <c r="E18" s="168" t="s">
        <v>29</v>
      </c>
      <c r="F18" s="168"/>
      <c r="G18" s="168"/>
      <c r="H18" s="168"/>
      <c r="I18" s="168"/>
      <c r="J18" s="168"/>
      <c r="K18" s="168"/>
      <c r="L18" s="168"/>
    </row>
    <row r="19" spans="2:12" x14ac:dyDescent="0.2">
      <c r="B19" s="169" t="s">
        <v>30</v>
      </c>
      <c r="C19" s="169"/>
      <c r="D19" s="169"/>
      <c r="E19" s="168" t="s">
        <v>31</v>
      </c>
      <c r="F19" s="168"/>
      <c r="G19" s="168"/>
      <c r="H19" s="168"/>
      <c r="I19" s="168"/>
      <c r="J19" s="168"/>
      <c r="K19" s="168"/>
      <c r="L19" s="168"/>
    </row>
    <row r="20" spans="2:12" ht="12.75" customHeight="1" x14ac:dyDescent="0.2">
      <c r="B20" s="169" t="s">
        <v>32</v>
      </c>
      <c r="C20" s="169"/>
      <c r="D20" s="169"/>
      <c r="E20" s="170" t="s">
        <v>33</v>
      </c>
      <c r="F20" s="170"/>
      <c r="G20" s="170"/>
      <c r="H20" s="170"/>
      <c r="I20" s="170"/>
      <c r="J20" s="170"/>
      <c r="K20" s="170"/>
      <c r="L20" s="170"/>
    </row>
    <row r="21" spans="2:12" x14ac:dyDescent="0.2">
      <c r="B21" s="167" t="s">
        <v>34</v>
      </c>
      <c r="C21" s="167"/>
      <c r="D21" s="167"/>
      <c r="E21" s="168" t="s">
        <v>35</v>
      </c>
      <c r="F21" s="168"/>
      <c r="G21" s="168"/>
      <c r="H21" s="168"/>
      <c r="I21" s="168"/>
      <c r="J21" s="168"/>
      <c r="K21" s="168"/>
      <c r="L21" s="168"/>
    </row>
    <row r="22" spans="2:12" x14ac:dyDescent="0.2">
      <c r="B22" s="167" t="s">
        <v>36</v>
      </c>
      <c r="C22" s="167"/>
      <c r="D22" s="167"/>
      <c r="E22" s="168" t="s">
        <v>37</v>
      </c>
      <c r="F22" s="168"/>
      <c r="G22" s="168"/>
      <c r="H22" s="168"/>
      <c r="I22" s="168"/>
      <c r="J22" s="168"/>
      <c r="K22" s="168"/>
      <c r="L22" s="168"/>
    </row>
    <row r="23" spans="2:12" x14ac:dyDescent="0.2">
      <c r="B23" s="167" t="s">
        <v>38</v>
      </c>
      <c r="C23" s="167"/>
      <c r="D23" s="167"/>
      <c r="E23" s="168" t="s">
        <v>39</v>
      </c>
      <c r="F23" s="168"/>
      <c r="G23" s="168"/>
      <c r="H23" s="168"/>
      <c r="I23" s="168"/>
      <c r="J23" s="168"/>
      <c r="K23" s="168"/>
      <c r="L23" s="168"/>
    </row>
    <row r="24" spans="2:12" x14ac:dyDescent="0.2">
      <c r="B24" s="167" t="s">
        <v>40</v>
      </c>
      <c r="C24" s="167"/>
      <c r="D24" s="167"/>
      <c r="E24" s="168" t="s">
        <v>41</v>
      </c>
      <c r="F24" s="168"/>
      <c r="G24" s="168"/>
      <c r="H24" s="168"/>
      <c r="I24" s="168"/>
      <c r="J24" s="168"/>
      <c r="K24" s="168"/>
      <c r="L24" s="168"/>
    </row>
    <row r="25" spans="2:12" x14ac:dyDescent="0.2">
      <c r="B25" s="167" t="s">
        <v>42</v>
      </c>
      <c r="C25" s="167"/>
      <c r="D25" s="167"/>
      <c r="E25" s="168" t="s">
        <v>43</v>
      </c>
      <c r="F25" s="168"/>
      <c r="G25" s="168"/>
      <c r="H25" s="168"/>
      <c r="I25" s="168"/>
      <c r="J25" s="168"/>
      <c r="K25" s="168"/>
      <c r="L25" s="168"/>
    </row>
    <row r="26" spans="2:12" x14ac:dyDescent="0.2">
      <c r="B26" s="167" t="s">
        <v>44</v>
      </c>
      <c r="C26" s="167"/>
      <c r="D26" s="167"/>
      <c r="E26" s="168" t="s">
        <v>46</v>
      </c>
      <c r="F26" s="168"/>
      <c r="G26" s="168"/>
      <c r="H26" s="168"/>
      <c r="I26" s="168"/>
      <c r="J26" s="168"/>
      <c r="K26" s="168"/>
      <c r="L26" s="168"/>
    </row>
    <row r="27" spans="2:12" x14ac:dyDescent="0.2">
      <c r="B27" s="167" t="s">
        <v>45</v>
      </c>
      <c r="C27" s="167"/>
      <c r="D27" s="167"/>
      <c r="E27" s="168" t="s">
        <v>47</v>
      </c>
      <c r="F27" s="168"/>
      <c r="G27" s="168"/>
      <c r="H27" s="168"/>
      <c r="I27" s="168"/>
      <c r="J27" s="168"/>
      <c r="K27" s="168"/>
      <c r="L27" s="168"/>
    </row>
  </sheetData>
  <mergeCells count="48">
    <mergeCell ref="B24:D24"/>
    <mergeCell ref="E24:L24"/>
    <mergeCell ref="B27:D27"/>
    <mergeCell ref="E27:L27"/>
    <mergeCell ref="B25:D25"/>
    <mergeCell ref="E25:L25"/>
    <mergeCell ref="B26:D26"/>
    <mergeCell ref="E26:L26"/>
    <mergeCell ref="B21:D21"/>
    <mergeCell ref="E21:L21"/>
    <mergeCell ref="B22:D22"/>
    <mergeCell ref="E22:L22"/>
    <mergeCell ref="B23:D23"/>
    <mergeCell ref="E23:L23"/>
    <mergeCell ref="B18:D18"/>
    <mergeCell ref="E18:L18"/>
    <mergeCell ref="B19:D19"/>
    <mergeCell ref="E19:L19"/>
    <mergeCell ref="B20:D20"/>
    <mergeCell ref="E20:L20"/>
    <mergeCell ref="B15:D15"/>
    <mergeCell ref="E15:L15"/>
    <mergeCell ref="B16:D16"/>
    <mergeCell ref="E16:L16"/>
    <mergeCell ref="B17:D17"/>
    <mergeCell ref="E17:L17"/>
    <mergeCell ref="B12:D12"/>
    <mergeCell ref="E12:L12"/>
    <mergeCell ref="B13:D13"/>
    <mergeCell ref="E13:L13"/>
    <mergeCell ref="B14:D14"/>
    <mergeCell ref="E14:L14"/>
    <mergeCell ref="B9:D9"/>
    <mergeCell ref="E9:L9"/>
    <mergeCell ref="B10:D10"/>
    <mergeCell ref="E10:L10"/>
    <mergeCell ref="B11:D11"/>
    <mergeCell ref="E11:L11"/>
    <mergeCell ref="B2:L2"/>
    <mergeCell ref="B7:D7"/>
    <mergeCell ref="E7:L7"/>
    <mergeCell ref="B8:D8"/>
    <mergeCell ref="E8:L8"/>
    <mergeCell ref="B4:L4"/>
    <mergeCell ref="B5:D5"/>
    <mergeCell ref="E5:L5"/>
    <mergeCell ref="B6:D6"/>
    <mergeCell ref="E6:L6"/>
  </mergeCells>
  <hyperlinks>
    <hyperlink ref="B6" location="'G1'!A1" display="Gràfic I-10.1." xr:uid="{00000000-0004-0000-0000-000000000000}"/>
    <hyperlink ref="B7" location="'Q2'!A1" display="Quadre I-10.2." xr:uid="{00000000-0004-0000-0000-000001000000}"/>
    <hyperlink ref="B15" location="'Q10'!A1" display="Quadre I-10.10." xr:uid="{00000000-0004-0000-0000-000002000000}"/>
    <hyperlink ref="B18" location="'Q12'!A1" display="Quadre I-10.12." xr:uid="{00000000-0004-0000-0000-000003000000}"/>
    <hyperlink ref="B19" location="'Q13'!A1" display="Quadre I-10.13." xr:uid="{00000000-0004-0000-0000-000004000000}"/>
    <hyperlink ref="B20" location="'G3'!A1" display="Gràfic I-10.3." xr:uid="{00000000-0004-0000-0000-000005000000}"/>
    <hyperlink ref="B22" location="'Q15'!A1" display="Quadre I-10.15." xr:uid="{00000000-0004-0000-0000-000006000000}"/>
    <hyperlink ref="B23" location="'Q16'!A1" display="Quadre I-10.16." xr:uid="{00000000-0004-0000-0000-000007000000}"/>
    <hyperlink ref="B24" location="'Q17'!A1" display="Quadre I-10.17." xr:uid="{00000000-0004-0000-0000-000008000000}"/>
    <hyperlink ref="B25" location="'QA1'!A1" display="Quadre IA-10.1." xr:uid="{00000000-0004-0000-0000-000009000000}"/>
    <hyperlink ref="B27" location="'QA4'!A1" display="Quadre IA-10.4." xr:uid="{00000000-0004-0000-0000-00000A000000}"/>
    <hyperlink ref="B5:D5" location="'Q1'!A1" display="Quadre I-10.1." xr:uid="{715A559A-D939-488D-A804-BDFCB1117BF5}"/>
    <hyperlink ref="B8:D8" location="'Q3'!A1" display="Quadre I-10.3." xr:uid="{6E7A70D7-1C4B-4583-8A42-BD1CD93FE8A6}"/>
    <hyperlink ref="B9:D9" location="'Q4'!A1" display="Quadre I-10.4." xr:uid="{688567A0-7470-40B8-8368-9BD644F2485E}"/>
    <hyperlink ref="B10:D10" location="'Q5'!A1" display="Quadre I-10.5." xr:uid="{7391C7BC-5095-4DAC-9D2C-9AC0CC5A85CC}"/>
    <hyperlink ref="B11:D11" location="'Q6'!A1" display="Quadre I-10.6." xr:uid="{764366E2-C2B1-42B3-9E10-2B9918E977A3}"/>
    <hyperlink ref="B12:D12" location="'Q7'!A1" display="Quadre I-10.7." xr:uid="{897D0794-7864-4E76-A7F2-C5E8CF2F0B17}"/>
    <hyperlink ref="B13:D13" location="'Q8'!A1" display="Quadre I-10.8." xr:uid="{319ECD5D-12B8-47FA-ACE8-7420CCA7DFA1}"/>
    <hyperlink ref="B14:D14" location="'Q9'!A1" display="Quadre I-10.9." xr:uid="{FB54E7BF-7C80-4486-B4AC-F7C7A4E9FBCC}"/>
    <hyperlink ref="B15:D15" location="'Q10'!A1" display="Quadre I-10.10." xr:uid="{21E14E8F-34BD-42B3-8B79-896D1ED39D07}"/>
    <hyperlink ref="B16:D16" location="'Q11'!A1" display="Quadre I-10.11." xr:uid="{92E758E4-A083-4F8C-9915-63FE22F33471}"/>
    <hyperlink ref="B17:D17" location="'G2'!A1" display="Gràfic I-10.2." xr:uid="{08C91B41-6C7F-4797-87C4-F169E31085BB}"/>
    <hyperlink ref="B18:D18" location="'Q12'!A1" display="Quadre I-10.12." xr:uid="{CA947DCB-A876-4599-929F-454D4DC02F13}"/>
    <hyperlink ref="B21:D21" location="'Q14'!A1" display="Quadre I-10.14." xr:uid="{9D8BA3B6-E17E-45BB-8B8F-4880F4020B87}"/>
    <hyperlink ref="B22:D22" location="'Q15'!A1" display="Quadre I-10.15." xr:uid="{364BFE45-A72D-464D-AFAA-82D0CF762419}"/>
    <hyperlink ref="B23:D23" location="'Q16'!A1" display="Quadre I-10.16." xr:uid="{9A413475-E09C-4D8A-AC02-7FB432B763CD}"/>
    <hyperlink ref="B24:D24" location="'Q17'!A1" display="Quadre I-10.17." xr:uid="{69E17A9B-FE59-4327-8373-47EA0A7E7868}"/>
    <hyperlink ref="B25:D25" location="'QA1'!A1" display="Quadre IA-10.1." xr:uid="{512C2102-A566-47DD-A718-88D461C35DAB}"/>
    <hyperlink ref="B26:D26" location="'QA2'!A1" display="Quadre IA-10.2." xr:uid="{3D57C257-5CB4-4E74-A08B-2A005EC6A8EF}"/>
    <hyperlink ref="B27:D27" location="'QA3'!A1" display="Quadre IA-10.3." xr:uid="{A7BA33A4-AB79-4EAA-B30C-FBEEBFC99D92}"/>
  </hyperlinks>
  <pageMargins left="0.70000000000000007" right="0.70000000000000007" top="1.1437007874015745" bottom="1.1437007874015745" header="0.74999999999999989" footer="0.74999999999999989"/>
  <pageSetup paperSize="9" fitToWidth="0" fitToHeight="0" orientation="landscape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theme="9"/>
  </sheetPr>
  <dimension ref="A1:AMJ26"/>
  <sheetViews>
    <sheetView workbookViewId="0">
      <selection sqref="A1:G1"/>
    </sheetView>
  </sheetViews>
  <sheetFormatPr baseColWidth="10" defaultRowHeight="14.25" x14ac:dyDescent="0.2"/>
  <cols>
    <col min="1" max="1" width="16.875" style="1" customWidth="1"/>
    <col min="2" max="3" width="13.5" style="1" customWidth="1"/>
    <col min="4" max="4" width="10" style="1" customWidth="1"/>
    <col min="5" max="1024" width="10.125" style="1" customWidth="1"/>
  </cols>
  <sheetData>
    <row r="1" spans="1:6" ht="21.75" customHeight="1" x14ac:dyDescent="0.2">
      <c r="A1" s="189" t="s">
        <v>152</v>
      </c>
      <c r="B1" s="189"/>
      <c r="C1" s="189"/>
      <c r="D1" s="189"/>
    </row>
    <row r="2" spans="1:6" s="48" customFormat="1" ht="11.25" x14ac:dyDescent="0.2">
      <c r="A2" s="45"/>
      <c r="B2" s="46">
        <v>2019</v>
      </c>
      <c r="C2" s="46">
        <v>2020</v>
      </c>
      <c r="D2" s="49" t="s">
        <v>153</v>
      </c>
    </row>
    <row r="3" spans="1:6" x14ac:dyDescent="0.2">
      <c r="A3" s="30" t="s">
        <v>154</v>
      </c>
      <c r="B3" s="72">
        <v>28767568.949999999</v>
      </c>
      <c r="C3" s="72">
        <v>29039865.32</v>
      </c>
      <c r="D3" s="22">
        <f t="shared" ref="D3:D25" si="0">(C3-B3)/B3</f>
        <v>9.4653938423949115E-3</v>
      </c>
    </row>
    <row r="4" spans="1:6" x14ac:dyDescent="0.2">
      <c r="A4" s="30" t="s">
        <v>155</v>
      </c>
      <c r="B4" s="72">
        <v>96117252.099999994</v>
      </c>
      <c r="C4" s="72">
        <v>102845603.77</v>
      </c>
      <c r="D4" s="22">
        <f t="shared" si="0"/>
        <v>7.0001498409461946E-2</v>
      </c>
    </row>
    <row r="5" spans="1:6" x14ac:dyDescent="0.2">
      <c r="A5" s="30" t="s">
        <v>156</v>
      </c>
      <c r="B5" s="72">
        <v>27311818.16</v>
      </c>
      <c r="C5" s="72">
        <v>28288602.899999999</v>
      </c>
      <c r="D5" s="22">
        <f t="shared" si="0"/>
        <v>3.5764178506085896E-2</v>
      </c>
    </row>
    <row r="6" spans="1:6" x14ac:dyDescent="0.2">
      <c r="A6" s="30" t="s">
        <v>157</v>
      </c>
      <c r="B6" s="72">
        <v>42823401</v>
      </c>
      <c r="C6" s="72">
        <v>38972634.619999997</v>
      </c>
      <c r="D6" s="22">
        <f t="shared" si="0"/>
        <v>-8.99220120326268E-2</v>
      </c>
    </row>
    <row r="7" spans="1:6" x14ac:dyDescent="0.2">
      <c r="A7" s="30" t="s">
        <v>158</v>
      </c>
      <c r="B7" s="72">
        <v>40484854.140000001</v>
      </c>
      <c r="C7" s="72">
        <v>42734596.07</v>
      </c>
      <c r="D7" s="22">
        <f t="shared" si="0"/>
        <v>5.5569965059530768E-2</v>
      </c>
    </row>
    <row r="8" spans="1:6" x14ac:dyDescent="0.2">
      <c r="A8" s="30" t="s">
        <v>159</v>
      </c>
      <c r="B8" s="72">
        <v>31416000</v>
      </c>
      <c r="C8" s="72">
        <v>34489250</v>
      </c>
      <c r="D8" s="22">
        <f t="shared" si="0"/>
        <v>9.7824357015533492E-2</v>
      </c>
    </row>
    <row r="9" spans="1:6" x14ac:dyDescent="0.2">
      <c r="A9" s="30" t="s">
        <v>160</v>
      </c>
      <c r="B9" s="72">
        <v>423762211.99000001</v>
      </c>
      <c r="C9" s="72">
        <v>444242428.94999999</v>
      </c>
      <c r="D9" s="22">
        <f t="shared" si="0"/>
        <v>4.8329502679873855E-2</v>
      </c>
    </row>
    <row r="10" spans="1:6" x14ac:dyDescent="0.2">
      <c r="A10" s="30" t="s">
        <v>161</v>
      </c>
      <c r="B10" s="72">
        <v>20300844.09</v>
      </c>
      <c r="C10" s="72">
        <v>23144364.699999999</v>
      </c>
      <c r="D10" s="22">
        <f t="shared" si="0"/>
        <v>0.14006908271369317</v>
      </c>
    </row>
    <row r="11" spans="1:6" x14ac:dyDescent="0.2">
      <c r="A11" s="30" t="s">
        <v>162</v>
      </c>
      <c r="B11" s="72">
        <v>20945000</v>
      </c>
      <c r="C11" s="72">
        <v>24600000</v>
      </c>
      <c r="D11" s="22">
        <f t="shared" si="0"/>
        <v>0.1745046550489377</v>
      </c>
    </row>
    <row r="12" spans="1:6" x14ac:dyDescent="0.2">
      <c r="A12" s="30" t="s">
        <v>163</v>
      </c>
      <c r="B12" s="72">
        <v>14917232.810000001</v>
      </c>
      <c r="C12" s="72">
        <v>17024193.879999999</v>
      </c>
      <c r="D12" s="22">
        <f t="shared" si="0"/>
        <v>0.14124342609894538</v>
      </c>
      <c r="F12" s="18"/>
    </row>
    <row r="13" spans="1:6" x14ac:dyDescent="0.2">
      <c r="A13" s="30" t="s">
        <v>164</v>
      </c>
      <c r="B13" s="72">
        <v>273935169.35000002</v>
      </c>
      <c r="C13" s="72">
        <v>333690619.42000002</v>
      </c>
      <c r="D13" s="22">
        <f t="shared" si="0"/>
        <v>0.21813719724922201</v>
      </c>
      <c r="F13" s="18"/>
    </row>
    <row r="14" spans="1:6" s="48" customFormat="1" ht="11.25" x14ac:dyDescent="0.2">
      <c r="A14" s="75" t="s">
        <v>165</v>
      </c>
      <c r="B14" s="60">
        <v>1020781352.59</v>
      </c>
      <c r="C14" s="60">
        <v>1062494953.83</v>
      </c>
      <c r="D14" s="61">
        <f t="shared" si="0"/>
        <v>4.0864384066344135E-2</v>
      </c>
    </row>
    <row r="15" spans="1:6" x14ac:dyDescent="0.2">
      <c r="A15" s="30" t="s">
        <v>166</v>
      </c>
      <c r="B15" s="72">
        <v>35069982.200000003</v>
      </c>
      <c r="C15" s="72">
        <v>35484593.829999998</v>
      </c>
      <c r="D15" s="22">
        <f t="shared" si="0"/>
        <v>1.1822407768430382E-2</v>
      </c>
    </row>
    <row r="16" spans="1:6" x14ac:dyDescent="0.2">
      <c r="A16" s="30" t="s">
        <v>167</v>
      </c>
      <c r="B16" s="72">
        <v>36870376</v>
      </c>
      <c r="C16" s="72">
        <v>38715780</v>
      </c>
      <c r="D16" s="22">
        <f t="shared" si="0"/>
        <v>5.0051130479385399E-2</v>
      </c>
    </row>
    <row r="17" spans="1:4" x14ac:dyDescent="0.2">
      <c r="A17" s="30" t="s">
        <v>164</v>
      </c>
      <c r="B17" s="72">
        <v>52608665.710000001</v>
      </c>
      <c r="C17" s="72">
        <v>54604528.960000001</v>
      </c>
      <c r="D17" s="22">
        <f t="shared" si="0"/>
        <v>3.7937918079922348E-2</v>
      </c>
    </row>
    <row r="18" spans="1:4" s="48" customFormat="1" ht="11.25" x14ac:dyDescent="0.2">
      <c r="A18" s="75" t="s">
        <v>168</v>
      </c>
      <c r="B18" s="60">
        <v>124549023.91</v>
      </c>
      <c r="C18" s="60">
        <v>128804902.79000001</v>
      </c>
      <c r="D18" s="61">
        <f t="shared" si="0"/>
        <v>3.4170310985940269E-2</v>
      </c>
    </row>
    <row r="19" spans="1:4" x14ac:dyDescent="0.2">
      <c r="A19" s="30" t="s">
        <v>169</v>
      </c>
      <c r="B19" s="72">
        <v>62467549</v>
      </c>
      <c r="C19" s="72">
        <v>69217540</v>
      </c>
      <c r="D19" s="22">
        <f t="shared" si="0"/>
        <v>0.10805596038352649</v>
      </c>
    </row>
    <row r="20" spans="1:4" x14ac:dyDescent="0.2">
      <c r="A20" s="30" t="s">
        <v>170</v>
      </c>
      <c r="B20" s="72">
        <v>40108000</v>
      </c>
      <c r="C20" s="72">
        <v>41270000</v>
      </c>
      <c r="D20" s="22">
        <f t="shared" si="0"/>
        <v>2.8971776204248529E-2</v>
      </c>
    </row>
    <row r="21" spans="1:4" x14ac:dyDescent="0.2">
      <c r="A21" s="30" t="s">
        <v>171</v>
      </c>
      <c r="B21" s="72">
        <v>35353785.840000004</v>
      </c>
      <c r="C21" s="72">
        <v>37835223.039999999</v>
      </c>
      <c r="D21" s="22">
        <f t="shared" si="0"/>
        <v>7.0188726356780903E-2</v>
      </c>
    </row>
    <row r="22" spans="1:4" x14ac:dyDescent="0.2">
      <c r="A22" s="30" t="s">
        <v>172</v>
      </c>
      <c r="B22" s="72">
        <v>30150001</v>
      </c>
      <c r="C22" s="72">
        <v>30060000</v>
      </c>
      <c r="D22" s="22">
        <f t="shared" si="0"/>
        <v>-2.9851076953529786E-3</v>
      </c>
    </row>
    <row r="23" spans="1:4" x14ac:dyDescent="0.2">
      <c r="A23" s="30" t="s">
        <v>164</v>
      </c>
      <c r="B23" s="72">
        <v>38482862</v>
      </c>
      <c r="C23" s="72">
        <v>40102085.170000002</v>
      </c>
      <c r="D23" s="22">
        <f t="shared" si="0"/>
        <v>4.2076474717498966E-2</v>
      </c>
    </row>
    <row r="24" spans="1:4" s="48" customFormat="1" ht="11.25" x14ac:dyDescent="0.2">
      <c r="A24" s="75" t="s">
        <v>173</v>
      </c>
      <c r="B24" s="60">
        <v>206562197.84</v>
      </c>
      <c r="C24" s="60">
        <v>218484848.21000001</v>
      </c>
      <c r="D24" s="61">
        <f t="shared" si="0"/>
        <v>5.7719420565204828E-2</v>
      </c>
    </row>
    <row r="25" spans="1:4" s="48" customFormat="1" ht="11.25" x14ac:dyDescent="0.2">
      <c r="A25" s="75" t="s">
        <v>130</v>
      </c>
      <c r="B25" s="60">
        <v>1351892574.3399999</v>
      </c>
      <c r="C25" s="60">
        <v>1409784704.8299999</v>
      </c>
      <c r="D25" s="61">
        <f t="shared" si="0"/>
        <v>4.28230257261848E-2</v>
      </c>
    </row>
    <row r="26" spans="1:4" ht="11.25" customHeight="1" x14ac:dyDescent="0.2">
      <c r="A26" s="179" t="s">
        <v>174</v>
      </c>
      <c r="B26" s="179"/>
      <c r="C26" s="179"/>
      <c r="D26" s="179"/>
    </row>
  </sheetData>
  <mergeCells count="2">
    <mergeCell ref="A1:D1"/>
    <mergeCell ref="A26:D26"/>
  </mergeCells>
  <pageMargins left="1.1811023622047243" right="0.74803149606299213" top="1.3775590551181103" bottom="1.3775590551181103" header="0.98385826771653528" footer="0.98385826771653528"/>
  <pageSetup paperSize="0" fitToWidth="0" fitToHeight="0" orientation="portrait" horizontalDpi="0" verticalDpi="0" copies="0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theme="9"/>
  </sheetPr>
  <dimension ref="A1:AMJ36"/>
  <sheetViews>
    <sheetView topLeftCell="A4" workbookViewId="0">
      <selection sqref="A1:G1"/>
    </sheetView>
  </sheetViews>
  <sheetFormatPr baseColWidth="10" defaultRowHeight="14.25" x14ac:dyDescent="0.2"/>
  <cols>
    <col min="1" max="1" width="5.75" style="79" customWidth="1"/>
    <col min="2" max="2" width="36.75" style="79" customWidth="1"/>
    <col min="3" max="3" width="9.125" style="79" customWidth="1"/>
    <col min="4" max="4" width="9.75" style="79" customWidth="1"/>
    <col min="5" max="5" width="9.25" style="79" customWidth="1"/>
    <col min="6" max="6" width="8.125" style="79" customWidth="1"/>
    <col min="7" max="14" width="9.25" style="79" customWidth="1"/>
    <col min="15" max="15" width="10.875" style="79" customWidth="1"/>
    <col min="16" max="1024" width="9.25" style="79" customWidth="1"/>
  </cols>
  <sheetData>
    <row r="1" spans="1:60" s="38" customFormat="1" ht="11.25" x14ac:dyDescent="0.2">
      <c r="A1" s="180" t="s">
        <v>175</v>
      </c>
      <c r="B1" s="180"/>
      <c r="C1" s="180"/>
      <c r="D1" s="180"/>
      <c r="E1" s="180"/>
      <c r="F1" s="180"/>
      <c r="G1" s="180"/>
      <c r="H1" s="180"/>
      <c r="I1" s="180"/>
    </row>
    <row r="2" spans="1:60" s="38" customFormat="1" ht="9.9499999999999993" customHeight="1" x14ac:dyDescent="0.2">
      <c r="A2" s="174"/>
      <c r="B2" s="174"/>
      <c r="C2" s="192" t="s">
        <v>176</v>
      </c>
      <c r="D2" s="192"/>
      <c r="E2" s="192" t="s">
        <v>177</v>
      </c>
      <c r="F2" s="192" t="s">
        <v>178</v>
      </c>
      <c r="G2" s="193">
        <v>2020</v>
      </c>
      <c r="H2" s="193"/>
      <c r="I2" s="193"/>
    </row>
    <row r="3" spans="1:60" ht="33.75" x14ac:dyDescent="0.2">
      <c r="A3" s="174"/>
      <c r="B3" s="174"/>
      <c r="C3" s="78">
        <v>2019</v>
      </c>
      <c r="D3" s="78">
        <v>2020</v>
      </c>
      <c r="E3" s="192"/>
      <c r="F3" s="192"/>
      <c r="G3" s="77" t="s">
        <v>179</v>
      </c>
      <c r="H3" s="77" t="s">
        <v>180</v>
      </c>
      <c r="I3" s="77" t="s">
        <v>181</v>
      </c>
      <c r="J3" s="38"/>
      <c r="K3" s="38"/>
      <c r="L3" s="38"/>
      <c r="M3" s="38"/>
      <c r="N3" s="38"/>
      <c r="O3" s="38"/>
      <c r="P3" s="38"/>
      <c r="Q3" s="38"/>
      <c r="R3" s="38"/>
      <c r="S3" s="38"/>
      <c r="T3" s="38"/>
      <c r="U3" s="38"/>
      <c r="V3" s="38"/>
      <c r="W3" s="38"/>
      <c r="X3" s="38"/>
      <c r="Y3" s="38"/>
      <c r="Z3" s="38"/>
      <c r="AA3" s="38"/>
      <c r="AB3" s="38"/>
      <c r="AC3" s="38"/>
      <c r="AD3" s="38"/>
      <c r="AE3" s="38"/>
      <c r="AF3" s="38"/>
      <c r="AG3" s="38"/>
      <c r="AH3" s="38"/>
      <c r="AI3" s="38"/>
      <c r="AJ3" s="38"/>
      <c r="AK3" s="38"/>
      <c r="AL3" s="38"/>
      <c r="AM3" s="38"/>
      <c r="AN3" s="38"/>
      <c r="AO3" s="38"/>
      <c r="AP3" s="38"/>
      <c r="AQ3" s="38"/>
      <c r="AR3" s="38"/>
      <c r="AS3" s="38"/>
      <c r="AT3" s="38"/>
      <c r="AU3" s="38"/>
      <c r="AV3" s="38"/>
      <c r="AW3" s="38"/>
      <c r="AX3" s="38"/>
      <c r="AY3" s="38"/>
      <c r="AZ3" s="38"/>
      <c r="BA3" s="38"/>
      <c r="BB3" s="38"/>
      <c r="BC3" s="38"/>
      <c r="BD3" s="38"/>
      <c r="BE3" s="38"/>
      <c r="BF3" s="38"/>
      <c r="BG3" s="38"/>
      <c r="BH3" s="38"/>
    </row>
    <row r="4" spans="1:60" x14ac:dyDescent="0.2">
      <c r="A4" s="162" t="s">
        <v>182</v>
      </c>
      <c r="B4" s="80" t="s">
        <v>183</v>
      </c>
      <c r="C4" s="81">
        <v>66673</v>
      </c>
      <c r="D4" s="81">
        <v>48754.639949999997</v>
      </c>
      <c r="E4" s="81">
        <f t="shared" ref="E4:E34" si="0">D4-C4</f>
        <v>-17918.360050000003</v>
      </c>
      <c r="F4" s="82">
        <f t="shared" ref="F4:F34" si="1">E4/C4</f>
        <v>-0.26874986951239638</v>
      </c>
      <c r="G4" s="82">
        <f t="shared" ref="G4:G34" si="2">E4/52405</f>
        <v>-0.34192081003721025</v>
      </c>
      <c r="H4" s="82">
        <f t="shared" ref="H4:H34" si="3">D4/2023946</f>
        <v>2.4088903532999396E-2</v>
      </c>
      <c r="I4" s="83">
        <f t="shared" ref="I4:I34" si="4">D4*1000/1171543</f>
        <v>41.615749443255602</v>
      </c>
    </row>
    <row r="5" spans="1:60" s="86" customFormat="1" ht="11.25" x14ac:dyDescent="0.2">
      <c r="A5" s="163" t="s">
        <v>184</v>
      </c>
      <c r="B5" s="164" t="s">
        <v>183</v>
      </c>
      <c r="C5" s="84">
        <v>66673</v>
      </c>
      <c r="D5" s="84">
        <v>48754.639949999997</v>
      </c>
      <c r="E5" s="84">
        <f t="shared" si="0"/>
        <v>-17918.360050000003</v>
      </c>
      <c r="F5" s="85">
        <f t="shared" si="1"/>
        <v>-0.26874986951239638</v>
      </c>
      <c r="G5" s="37">
        <f t="shared" si="2"/>
        <v>-0.34192081003721025</v>
      </c>
      <c r="H5" s="37">
        <f t="shared" si="3"/>
        <v>2.4088903532999396E-2</v>
      </c>
      <c r="I5" s="31">
        <f t="shared" si="4"/>
        <v>41.615749443255602</v>
      </c>
      <c r="J5" s="38"/>
      <c r="K5" s="38"/>
      <c r="L5" s="38"/>
      <c r="M5" s="38"/>
      <c r="N5" s="38"/>
      <c r="O5" s="38"/>
      <c r="P5" s="38"/>
      <c r="Q5" s="38"/>
      <c r="R5" s="38"/>
      <c r="S5" s="38"/>
      <c r="T5" s="38"/>
      <c r="U5" s="38"/>
      <c r="V5" s="38"/>
      <c r="W5" s="38"/>
      <c r="X5" s="38"/>
      <c r="Y5" s="38"/>
      <c r="Z5" s="38"/>
      <c r="AA5" s="38"/>
      <c r="AB5" s="38"/>
      <c r="AC5" s="38"/>
      <c r="AD5" s="38"/>
      <c r="AE5" s="38"/>
      <c r="AF5" s="38"/>
      <c r="AG5" s="38"/>
      <c r="AH5" s="38"/>
      <c r="AI5" s="38"/>
      <c r="AJ5" s="38"/>
      <c r="AK5" s="38"/>
      <c r="AL5" s="38"/>
      <c r="AM5" s="38"/>
      <c r="AN5" s="38"/>
      <c r="AO5" s="38"/>
      <c r="AP5" s="38"/>
      <c r="AQ5" s="38"/>
      <c r="AR5" s="38"/>
      <c r="AS5" s="38"/>
      <c r="AT5" s="38"/>
      <c r="AU5" s="38"/>
      <c r="AV5" s="38"/>
      <c r="AW5" s="38"/>
      <c r="AX5" s="38"/>
      <c r="AY5" s="38"/>
      <c r="AZ5" s="38"/>
      <c r="BA5" s="38"/>
      <c r="BB5" s="38"/>
      <c r="BC5" s="38"/>
      <c r="BD5" s="38"/>
    </row>
    <row r="6" spans="1:60" x14ac:dyDescent="0.2">
      <c r="A6" s="162" t="s">
        <v>185</v>
      </c>
      <c r="B6" s="80" t="s">
        <v>186</v>
      </c>
      <c r="C6" s="81">
        <v>656057</v>
      </c>
      <c r="D6" s="81">
        <v>710141.04553999996</v>
      </c>
      <c r="E6" s="81">
        <f t="shared" si="0"/>
        <v>54084.045539999963</v>
      </c>
      <c r="F6" s="82">
        <f t="shared" si="1"/>
        <v>8.243802831156434E-2</v>
      </c>
      <c r="G6" s="82">
        <f t="shared" si="2"/>
        <v>1.0320397965842947</v>
      </c>
      <c r="H6" s="82">
        <f t="shared" si="3"/>
        <v>0.35086956151004028</v>
      </c>
      <c r="I6" s="83">
        <f t="shared" si="4"/>
        <v>606.15875434363056</v>
      </c>
    </row>
    <row r="7" spans="1:60" s="86" customFormat="1" ht="11.25" x14ac:dyDescent="0.2">
      <c r="A7" s="163" t="s">
        <v>187</v>
      </c>
      <c r="B7" s="164" t="s">
        <v>188</v>
      </c>
      <c r="C7" s="84">
        <v>226154</v>
      </c>
      <c r="D7" s="84">
        <v>247440.93745999999</v>
      </c>
      <c r="E7" s="84">
        <f t="shared" si="0"/>
        <v>21286.937459999986</v>
      </c>
      <c r="F7" s="85">
        <f t="shared" si="1"/>
        <v>9.4125849907585032E-2</v>
      </c>
      <c r="G7" s="37">
        <f t="shared" si="2"/>
        <v>0.406200504913653</v>
      </c>
      <c r="H7" s="37">
        <f t="shared" si="3"/>
        <v>0.12225668938795797</v>
      </c>
      <c r="I7" s="31">
        <f t="shared" si="4"/>
        <v>211.20943700743376</v>
      </c>
      <c r="J7" s="38"/>
      <c r="K7" s="38"/>
      <c r="L7" s="38"/>
      <c r="M7" s="38"/>
      <c r="N7" s="38"/>
      <c r="O7" s="38"/>
      <c r="P7" s="38"/>
      <c r="Q7" s="38"/>
      <c r="R7" s="38"/>
      <c r="S7" s="38"/>
      <c r="T7" s="38"/>
      <c r="U7" s="38"/>
      <c r="V7" s="38"/>
      <c r="W7" s="38"/>
      <c r="X7" s="38"/>
      <c r="Y7" s="38"/>
      <c r="Z7" s="38"/>
      <c r="AA7" s="38"/>
      <c r="AB7" s="38"/>
      <c r="AC7" s="38"/>
      <c r="AD7" s="38"/>
      <c r="AE7" s="38"/>
      <c r="AF7" s="38"/>
      <c r="AG7" s="38"/>
      <c r="AH7" s="38"/>
      <c r="AI7" s="38"/>
      <c r="AJ7" s="38"/>
      <c r="AK7" s="38"/>
      <c r="AL7" s="38"/>
      <c r="AM7" s="38"/>
      <c r="AN7" s="38"/>
      <c r="AO7" s="38"/>
      <c r="AP7" s="38"/>
      <c r="AQ7" s="38"/>
      <c r="AR7" s="38"/>
      <c r="AS7" s="38"/>
      <c r="AT7" s="38"/>
      <c r="AU7" s="38"/>
      <c r="AV7" s="38"/>
      <c r="AW7" s="38"/>
      <c r="AX7" s="38"/>
      <c r="AY7" s="38"/>
      <c r="AZ7" s="38"/>
      <c r="BA7" s="38"/>
      <c r="BB7" s="38"/>
      <c r="BC7" s="38"/>
      <c r="BD7" s="38"/>
    </row>
    <row r="8" spans="1:60" s="86" customFormat="1" ht="11.25" x14ac:dyDescent="0.2">
      <c r="A8" s="163" t="s">
        <v>189</v>
      </c>
      <c r="B8" s="164" t="s">
        <v>190</v>
      </c>
      <c r="C8" s="84">
        <v>115433</v>
      </c>
      <c r="D8" s="84">
        <v>125781.36104</v>
      </c>
      <c r="E8" s="84">
        <f t="shared" si="0"/>
        <v>10348.361040000003</v>
      </c>
      <c r="F8" s="85">
        <f t="shared" si="1"/>
        <v>8.9648203200124774E-2</v>
      </c>
      <c r="G8" s="37">
        <f t="shared" si="2"/>
        <v>0.19746896364850688</v>
      </c>
      <c r="H8" s="37">
        <f t="shared" si="3"/>
        <v>6.2146599286739865E-2</v>
      </c>
      <c r="I8" s="31">
        <f t="shared" si="4"/>
        <v>107.36384498050862</v>
      </c>
      <c r="J8" s="38"/>
      <c r="K8" s="38"/>
      <c r="L8" s="38"/>
      <c r="M8" s="38"/>
      <c r="N8" s="38"/>
      <c r="O8" s="38"/>
      <c r="P8" s="38"/>
      <c r="Q8" s="38"/>
      <c r="R8" s="38"/>
      <c r="S8" s="38"/>
      <c r="T8" s="38"/>
      <c r="U8" s="38"/>
      <c r="V8" s="38"/>
      <c r="W8" s="38"/>
      <c r="X8" s="38"/>
      <c r="Y8" s="38"/>
      <c r="Z8" s="38"/>
      <c r="AA8" s="38"/>
      <c r="AB8" s="38"/>
      <c r="AC8" s="38"/>
      <c r="AD8" s="38"/>
      <c r="AE8" s="38"/>
      <c r="AF8" s="38"/>
      <c r="AG8" s="38"/>
      <c r="AH8" s="38"/>
      <c r="AI8" s="38"/>
      <c r="AJ8" s="38"/>
      <c r="AK8" s="38"/>
      <c r="AL8" s="38"/>
      <c r="AM8" s="38"/>
      <c r="AN8" s="38"/>
      <c r="AO8" s="38"/>
      <c r="AP8" s="38"/>
      <c r="AQ8" s="38"/>
      <c r="AR8" s="38"/>
      <c r="AS8" s="38"/>
      <c r="AT8" s="38"/>
      <c r="AU8" s="38"/>
      <c r="AV8" s="38"/>
      <c r="AW8" s="38"/>
      <c r="AX8" s="38"/>
      <c r="AY8" s="38"/>
      <c r="AZ8" s="38"/>
      <c r="BA8" s="38"/>
      <c r="BB8" s="38"/>
      <c r="BC8" s="38"/>
      <c r="BD8" s="38"/>
    </row>
    <row r="9" spans="1:60" s="86" customFormat="1" ht="11.25" x14ac:dyDescent="0.2">
      <c r="A9" s="163" t="s">
        <v>191</v>
      </c>
      <c r="B9" s="164" t="s">
        <v>192</v>
      </c>
      <c r="C9" s="84">
        <v>242499</v>
      </c>
      <c r="D9" s="84">
        <v>254244.16927000001</v>
      </c>
      <c r="E9" s="84">
        <f t="shared" si="0"/>
        <v>11745.169270000013</v>
      </c>
      <c r="F9" s="85">
        <f t="shared" si="1"/>
        <v>4.8433887438711139E-2</v>
      </c>
      <c r="G9" s="37">
        <f t="shared" si="2"/>
        <v>0.22412306592882383</v>
      </c>
      <c r="H9" s="37">
        <f t="shared" si="3"/>
        <v>0.12561805960732156</v>
      </c>
      <c r="I9" s="31">
        <f t="shared" si="4"/>
        <v>217.01650666684878</v>
      </c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8"/>
      <c r="AA9" s="38"/>
      <c r="AB9" s="38"/>
      <c r="AC9" s="38"/>
      <c r="AD9" s="38"/>
      <c r="AE9" s="38"/>
      <c r="AF9" s="38"/>
      <c r="AG9" s="38"/>
      <c r="AH9" s="38"/>
      <c r="AI9" s="38"/>
      <c r="AJ9" s="38"/>
      <c r="AK9" s="38"/>
      <c r="AL9" s="38"/>
      <c r="AM9" s="38"/>
      <c r="AN9" s="38"/>
      <c r="AO9" s="38"/>
      <c r="AP9" s="38"/>
      <c r="AQ9" s="38"/>
      <c r="AR9" s="38"/>
      <c r="AS9" s="38"/>
      <c r="AT9" s="38"/>
      <c r="AU9" s="38"/>
      <c r="AV9" s="38"/>
      <c r="AW9" s="38"/>
      <c r="AX9" s="38"/>
      <c r="AY9" s="38"/>
      <c r="AZ9" s="38"/>
      <c r="BA9" s="38"/>
      <c r="BB9" s="38"/>
      <c r="BC9" s="38"/>
      <c r="BD9" s="38"/>
    </row>
    <row r="10" spans="1:60" s="86" customFormat="1" ht="11.25" x14ac:dyDescent="0.2">
      <c r="A10" s="163" t="s">
        <v>193</v>
      </c>
      <c r="B10" s="164" t="s">
        <v>194</v>
      </c>
      <c r="C10" s="84">
        <v>71971</v>
      </c>
      <c r="D10" s="84">
        <v>82674.577720000001</v>
      </c>
      <c r="E10" s="84">
        <f t="shared" si="0"/>
        <v>10703.577720000001</v>
      </c>
      <c r="F10" s="85">
        <f t="shared" si="1"/>
        <v>0.14872070306095511</v>
      </c>
      <c r="G10" s="37">
        <f t="shared" si="2"/>
        <v>0.2042472611392043</v>
      </c>
      <c r="H10" s="37">
        <f t="shared" si="3"/>
        <v>4.0848213203316691E-2</v>
      </c>
      <c r="I10" s="31">
        <f t="shared" si="4"/>
        <v>70.568965646160663</v>
      </c>
      <c r="J10" s="38"/>
      <c r="K10" s="38"/>
      <c r="L10" s="38"/>
      <c r="M10" s="38"/>
      <c r="N10" s="38"/>
      <c r="O10" s="38"/>
      <c r="P10" s="38"/>
      <c r="Q10" s="38"/>
      <c r="R10" s="38"/>
      <c r="S10" s="38"/>
      <c r="T10" s="38"/>
      <c r="U10" s="38"/>
      <c r="V10" s="38"/>
      <c r="W10" s="38"/>
      <c r="X10" s="38"/>
      <c r="Y10" s="38"/>
      <c r="Z10" s="38"/>
      <c r="AA10" s="38"/>
      <c r="AB10" s="38"/>
      <c r="AC10" s="38"/>
      <c r="AD10" s="38"/>
      <c r="AE10" s="38"/>
      <c r="AF10" s="38"/>
      <c r="AG10" s="38"/>
      <c r="AH10" s="38"/>
      <c r="AI10" s="38"/>
      <c r="AJ10" s="38"/>
      <c r="AK10" s="38"/>
      <c r="AL10" s="38"/>
      <c r="AM10" s="38"/>
      <c r="AN10" s="38"/>
      <c r="AO10" s="38"/>
      <c r="AP10" s="38"/>
      <c r="AQ10" s="38"/>
      <c r="AR10" s="38"/>
      <c r="AS10" s="38"/>
      <c r="AT10" s="38"/>
      <c r="AU10" s="38"/>
      <c r="AV10" s="38"/>
      <c r="AW10" s="38"/>
      <c r="AX10" s="38"/>
      <c r="AY10" s="38"/>
      <c r="AZ10" s="38"/>
      <c r="BA10" s="38"/>
      <c r="BB10" s="38"/>
      <c r="BC10" s="38"/>
      <c r="BD10" s="38"/>
    </row>
    <row r="11" spans="1:60" x14ac:dyDescent="0.2">
      <c r="A11" s="162" t="s">
        <v>195</v>
      </c>
      <c r="B11" s="80" t="s">
        <v>196</v>
      </c>
      <c r="C11" s="81">
        <v>354076</v>
      </c>
      <c r="D11" s="81">
        <v>378473.89315999998</v>
      </c>
      <c r="E11" s="81">
        <f t="shared" si="0"/>
        <v>24397.893159999978</v>
      </c>
      <c r="F11" s="82">
        <f t="shared" si="1"/>
        <v>6.8905808809408081E-2</v>
      </c>
      <c r="G11" s="82">
        <f t="shared" si="2"/>
        <v>0.46556422402442471</v>
      </c>
      <c r="H11" s="82">
        <f t="shared" si="3"/>
        <v>0.18699801929498117</v>
      </c>
      <c r="I11" s="83">
        <f t="shared" si="4"/>
        <v>323.05591272364734</v>
      </c>
    </row>
    <row r="12" spans="1:60" s="86" customFormat="1" ht="11.25" x14ac:dyDescent="0.2">
      <c r="A12" s="163" t="s">
        <v>197</v>
      </c>
      <c r="B12" s="164" t="s">
        <v>198</v>
      </c>
      <c r="C12" s="84">
        <v>3286</v>
      </c>
      <c r="D12" s="84">
        <v>3127.83257</v>
      </c>
      <c r="E12" s="84">
        <f t="shared" si="0"/>
        <v>-158.16742999999997</v>
      </c>
      <c r="F12" s="85">
        <f t="shared" si="1"/>
        <v>-4.8133727936701148E-2</v>
      </c>
      <c r="G12" s="37">
        <f t="shared" si="2"/>
        <v>-3.0181744108386597E-3</v>
      </c>
      <c r="H12" s="37">
        <f t="shared" si="3"/>
        <v>1.5454130544984895E-3</v>
      </c>
      <c r="I12" s="31">
        <f t="shared" si="4"/>
        <v>2.6698401765876283</v>
      </c>
      <c r="J12" s="38"/>
      <c r="K12" s="38"/>
      <c r="L12" s="38"/>
      <c r="M12" s="38"/>
      <c r="N12" s="38"/>
      <c r="O12" s="38"/>
      <c r="P12" s="38"/>
      <c r="Q12" s="38"/>
      <c r="R12" s="38"/>
      <c r="S12" s="38"/>
      <c r="T12" s="38"/>
      <c r="U12" s="38"/>
      <c r="V12" s="38"/>
      <c r="W12" s="38"/>
      <c r="X12" s="38"/>
      <c r="Y12" s="38"/>
      <c r="Z12" s="38"/>
      <c r="AA12" s="38"/>
      <c r="AB12" s="38"/>
      <c r="AC12" s="38"/>
      <c r="AD12" s="38"/>
      <c r="AE12" s="38"/>
      <c r="AF12" s="38"/>
      <c r="AG12" s="38"/>
      <c r="AH12" s="38"/>
      <c r="AI12" s="38"/>
      <c r="AJ12" s="38"/>
      <c r="AK12" s="38"/>
      <c r="AL12" s="38"/>
      <c r="AM12" s="38"/>
      <c r="AN12" s="38"/>
      <c r="AO12" s="38"/>
      <c r="AP12" s="38"/>
      <c r="AQ12" s="38"/>
      <c r="AR12" s="38"/>
      <c r="AS12" s="38"/>
      <c r="AT12" s="38"/>
      <c r="AU12" s="38"/>
      <c r="AV12" s="38"/>
      <c r="AW12" s="38"/>
      <c r="AX12" s="38"/>
      <c r="AY12" s="38"/>
      <c r="AZ12" s="38"/>
      <c r="BA12" s="38"/>
      <c r="BB12" s="38"/>
      <c r="BC12" s="38"/>
      <c r="BD12" s="38"/>
    </row>
    <row r="13" spans="1:60" s="86" customFormat="1" ht="11.25" x14ac:dyDescent="0.2">
      <c r="A13" s="163" t="s">
        <v>199</v>
      </c>
      <c r="B13" s="164" t="s">
        <v>200</v>
      </c>
      <c r="C13" s="84">
        <v>4842</v>
      </c>
      <c r="D13" s="84">
        <v>3334.5282400000001</v>
      </c>
      <c r="E13" s="84">
        <f t="shared" si="0"/>
        <v>-1507.4717599999999</v>
      </c>
      <c r="F13" s="85">
        <f t="shared" si="1"/>
        <v>-0.31133245766212309</v>
      </c>
      <c r="G13" s="37">
        <f t="shared" si="2"/>
        <v>-2.8765800209903634E-2</v>
      </c>
      <c r="H13" s="37">
        <f t="shared" si="3"/>
        <v>1.6475381457805693E-3</v>
      </c>
      <c r="I13" s="31">
        <f t="shared" si="4"/>
        <v>2.8462704655313549</v>
      </c>
      <c r="J13" s="38"/>
      <c r="K13" s="38"/>
      <c r="L13" s="38"/>
      <c r="M13" s="38"/>
      <c r="N13" s="38"/>
      <c r="O13" s="38"/>
      <c r="P13" s="38"/>
      <c r="Q13" s="38"/>
      <c r="R13" s="38"/>
      <c r="S13" s="38"/>
      <c r="T13" s="38"/>
      <c r="U13" s="38"/>
      <c r="V13" s="38"/>
      <c r="W13" s="38"/>
      <c r="X13" s="38"/>
      <c r="Y13" s="38"/>
      <c r="Z13" s="38"/>
      <c r="AA13" s="38"/>
      <c r="AB13" s="38"/>
      <c r="AC13" s="38"/>
      <c r="AD13" s="38"/>
      <c r="AE13" s="38"/>
      <c r="AF13" s="38"/>
      <c r="AG13" s="38"/>
      <c r="AH13" s="38"/>
      <c r="AI13" s="38"/>
      <c r="AJ13" s="38"/>
      <c r="AK13" s="38"/>
      <c r="AL13" s="38"/>
      <c r="AM13" s="38"/>
      <c r="AN13" s="38"/>
      <c r="AO13" s="38"/>
      <c r="AP13" s="38"/>
      <c r="AQ13" s="38"/>
      <c r="AR13" s="38"/>
      <c r="AS13" s="38"/>
      <c r="AT13" s="38"/>
      <c r="AU13" s="38"/>
      <c r="AV13" s="38"/>
      <c r="AW13" s="38"/>
      <c r="AX13" s="38"/>
      <c r="AY13" s="38"/>
      <c r="AZ13" s="38"/>
      <c r="BA13" s="38"/>
      <c r="BB13" s="38"/>
      <c r="BC13" s="38"/>
      <c r="BD13" s="38"/>
    </row>
    <row r="14" spans="1:60" s="86" customFormat="1" ht="11.25" x14ac:dyDescent="0.2">
      <c r="A14" s="163" t="s">
        <v>201</v>
      </c>
      <c r="B14" s="164" t="s">
        <v>202</v>
      </c>
      <c r="C14" s="84">
        <v>329025</v>
      </c>
      <c r="D14" s="84">
        <v>353910.97888000001</v>
      </c>
      <c r="E14" s="84">
        <f t="shared" si="0"/>
        <v>24885.97888000001</v>
      </c>
      <c r="F14" s="85">
        <f t="shared" si="1"/>
        <v>7.5635525811108606E-2</v>
      </c>
      <c r="G14" s="37">
        <f t="shared" si="2"/>
        <v>0.47487794828737734</v>
      </c>
      <c r="H14" s="37">
        <f t="shared" si="3"/>
        <v>0.17486186829095243</v>
      </c>
      <c r="I14" s="31">
        <f t="shared" si="4"/>
        <v>302.08961931401581</v>
      </c>
      <c r="J14" s="38"/>
      <c r="K14" s="38"/>
      <c r="L14" s="38"/>
      <c r="M14" s="38"/>
      <c r="N14" s="38"/>
      <c r="O14" s="38"/>
      <c r="P14" s="38"/>
      <c r="Q14" s="38"/>
      <c r="R14" s="38"/>
      <c r="S14" s="38"/>
      <c r="T14" s="38"/>
      <c r="U14" s="38"/>
      <c r="V14" s="38"/>
      <c r="W14" s="38"/>
      <c r="X14" s="38"/>
      <c r="Y14" s="38"/>
      <c r="Z14" s="38"/>
      <c r="AA14" s="38"/>
      <c r="AB14" s="38"/>
      <c r="AC14" s="38"/>
      <c r="AD14" s="38"/>
      <c r="AE14" s="38"/>
      <c r="AF14" s="38"/>
      <c r="AG14" s="38"/>
      <c r="AH14" s="38"/>
      <c r="AI14" s="38"/>
      <c r="AJ14" s="38"/>
      <c r="AK14" s="38"/>
      <c r="AL14" s="38"/>
      <c r="AM14" s="38"/>
      <c r="AN14" s="38"/>
      <c r="AO14" s="38"/>
      <c r="AP14" s="38"/>
      <c r="AQ14" s="38"/>
      <c r="AR14" s="38"/>
      <c r="AS14" s="38"/>
      <c r="AT14" s="38"/>
      <c r="AU14" s="38"/>
      <c r="AV14" s="38"/>
      <c r="AW14" s="38"/>
      <c r="AX14" s="38"/>
      <c r="AY14" s="38"/>
      <c r="AZ14" s="38"/>
      <c r="BA14" s="38"/>
      <c r="BB14" s="38"/>
      <c r="BC14" s="38"/>
      <c r="BD14" s="38"/>
    </row>
    <row r="15" spans="1:60" s="86" customFormat="1" ht="11.25" x14ac:dyDescent="0.2">
      <c r="A15" s="163" t="s">
        <v>203</v>
      </c>
      <c r="B15" s="164" t="s">
        <v>204</v>
      </c>
      <c r="C15" s="84">
        <v>16923</v>
      </c>
      <c r="D15" s="84">
        <v>18100.553459999999</v>
      </c>
      <c r="E15" s="84">
        <f t="shared" si="0"/>
        <v>1177.5534599999992</v>
      </c>
      <c r="F15" s="85">
        <f t="shared" si="1"/>
        <v>6.9583020741003324E-2</v>
      </c>
      <c r="G15" s="37">
        <f t="shared" si="2"/>
        <v>2.2470250166968787E-2</v>
      </c>
      <c r="H15" s="37">
        <f t="shared" si="3"/>
        <v>8.9431997988088617E-3</v>
      </c>
      <c r="I15" s="31">
        <f t="shared" si="4"/>
        <v>15.450182758976837</v>
      </c>
      <c r="J15" s="38"/>
      <c r="K15" s="38"/>
      <c r="L15" s="38"/>
      <c r="M15" s="38"/>
      <c r="N15" s="38"/>
      <c r="O15" s="38"/>
      <c r="P15" s="38"/>
      <c r="Q15" s="38"/>
      <c r="R15" s="38"/>
      <c r="S15" s="38"/>
      <c r="T15" s="38"/>
      <c r="U15" s="38"/>
      <c r="V15" s="38"/>
      <c r="W15" s="38"/>
      <c r="X15" s="38"/>
      <c r="Y15" s="38"/>
      <c r="Z15" s="38"/>
      <c r="AA15" s="38"/>
      <c r="AB15" s="38"/>
      <c r="AC15" s="38"/>
      <c r="AD15" s="38"/>
      <c r="AE15" s="38"/>
      <c r="AF15" s="38"/>
      <c r="AG15" s="38"/>
      <c r="AH15" s="38"/>
      <c r="AI15" s="38"/>
      <c r="AJ15" s="38"/>
      <c r="AK15" s="38"/>
      <c r="AL15" s="38"/>
      <c r="AM15" s="38"/>
      <c r="AN15" s="38"/>
      <c r="AO15" s="38"/>
      <c r="AP15" s="38"/>
      <c r="AQ15" s="38"/>
      <c r="AR15" s="38"/>
      <c r="AS15" s="38"/>
      <c r="AT15" s="38"/>
      <c r="AU15" s="38"/>
      <c r="AV15" s="38"/>
      <c r="AW15" s="38"/>
      <c r="AX15" s="38"/>
      <c r="AY15" s="38"/>
      <c r="AZ15" s="38"/>
      <c r="BA15" s="38"/>
      <c r="BB15" s="38"/>
      <c r="BC15" s="38"/>
      <c r="BD15" s="38"/>
    </row>
    <row r="16" spans="1:60" x14ac:dyDescent="0.2">
      <c r="A16" s="162" t="s">
        <v>205</v>
      </c>
      <c r="B16" s="80" t="s">
        <v>206</v>
      </c>
      <c r="C16" s="81">
        <v>291497</v>
      </c>
      <c r="D16" s="81">
        <v>301308.82785</v>
      </c>
      <c r="E16" s="81">
        <f t="shared" si="0"/>
        <v>9811.8278500000015</v>
      </c>
      <c r="F16" s="82">
        <f t="shared" si="1"/>
        <v>3.3660133208918107E-2</v>
      </c>
      <c r="G16" s="82">
        <f t="shared" si="2"/>
        <v>0.18723075756130142</v>
      </c>
      <c r="H16" s="82">
        <f t="shared" si="3"/>
        <v>0.14887196983022274</v>
      </c>
      <c r="I16" s="83">
        <f t="shared" si="4"/>
        <v>257.18972999710638</v>
      </c>
    </row>
    <row r="17" spans="1:56" s="86" customFormat="1" ht="11.25" x14ac:dyDescent="0.2">
      <c r="A17" s="163" t="s">
        <v>207</v>
      </c>
      <c r="B17" s="164" t="s">
        <v>208</v>
      </c>
      <c r="C17" s="84">
        <v>15882</v>
      </c>
      <c r="D17" s="84">
        <v>17277.68664</v>
      </c>
      <c r="E17" s="84">
        <f t="shared" si="0"/>
        <v>1395.6866399999999</v>
      </c>
      <c r="F17" s="85">
        <f t="shared" si="1"/>
        <v>8.7878519078201725E-2</v>
      </c>
      <c r="G17" s="37">
        <f t="shared" si="2"/>
        <v>2.6632699933212479E-2</v>
      </c>
      <c r="H17" s="37">
        <f t="shared" si="3"/>
        <v>8.5366341987385044E-3</v>
      </c>
      <c r="I17" s="31">
        <f t="shared" si="4"/>
        <v>14.747804084015696</v>
      </c>
      <c r="J17" s="38"/>
      <c r="K17" s="38"/>
      <c r="L17" s="38"/>
      <c r="M17" s="38"/>
      <c r="N17" s="38"/>
      <c r="O17" s="38"/>
      <c r="P17" s="38"/>
      <c r="Q17" s="38"/>
      <c r="R17" s="38"/>
      <c r="S17" s="38"/>
      <c r="T17" s="38"/>
      <c r="U17" s="38"/>
      <c r="V17" s="38"/>
      <c r="W17" s="38"/>
      <c r="X17" s="38"/>
      <c r="Y17" s="38"/>
      <c r="Z17" s="38"/>
      <c r="AA17" s="38"/>
      <c r="AB17" s="38"/>
      <c r="AC17" s="38"/>
      <c r="AD17" s="38"/>
      <c r="AE17" s="38"/>
      <c r="AF17" s="38"/>
      <c r="AG17" s="38"/>
      <c r="AH17" s="38"/>
      <c r="AI17" s="38"/>
      <c r="AJ17" s="38"/>
      <c r="AK17" s="38"/>
      <c r="AL17" s="38"/>
      <c r="AM17" s="38"/>
      <c r="AN17" s="38"/>
      <c r="AO17" s="38"/>
      <c r="AP17" s="38"/>
      <c r="AQ17" s="38"/>
      <c r="AR17" s="38"/>
      <c r="AS17" s="38"/>
      <c r="AT17" s="38"/>
      <c r="AU17" s="38"/>
      <c r="AV17" s="38"/>
      <c r="AW17" s="38"/>
      <c r="AX17" s="38"/>
      <c r="AY17" s="38"/>
      <c r="AZ17" s="38"/>
      <c r="BA17" s="38"/>
      <c r="BB17" s="38"/>
      <c r="BC17" s="38"/>
      <c r="BD17" s="38"/>
    </row>
    <row r="18" spans="1:56" s="86" customFormat="1" ht="11.25" x14ac:dyDescent="0.2">
      <c r="A18" s="163" t="s">
        <v>209</v>
      </c>
      <c r="B18" s="164" t="s">
        <v>210</v>
      </c>
      <c r="C18" s="84">
        <v>77550</v>
      </c>
      <c r="D18" s="84">
        <v>82435.993640000001</v>
      </c>
      <c r="E18" s="84">
        <f t="shared" si="0"/>
        <v>4885.9936400000006</v>
      </c>
      <c r="F18" s="85">
        <f t="shared" si="1"/>
        <v>6.3004431205673769E-2</v>
      </c>
      <c r="G18" s="37">
        <f t="shared" si="2"/>
        <v>9.3235256941131578E-2</v>
      </c>
      <c r="H18" s="37">
        <f t="shared" si="3"/>
        <v>4.0730332548398029E-2</v>
      </c>
      <c r="I18" s="31">
        <f t="shared" si="4"/>
        <v>70.365316202648984</v>
      </c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8"/>
      <c r="AA18" s="38"/>
      <c r="AB18" s="38"/>
      <c r="AC18" s="38"/>
      <c r="AD18" s="38"/>
      <c r="AE18" s="38"/>
      <c r="AF18" s="38"/>
      <c r="AG18" s="38"/>
      <c r="AH18" s="38"/>
      <c r="AI18" s="38"/>
      <c r="AJ18" s="38"/>
      <c r="AK18" s="38"/>
      <c r="AL18" s="38"/>
      <c r="AM18" s="38"/>
      <c r="AN18" s="38"/>
      <c r="AO18" s="38"/>
      <c r="AP18" s="38"/>
      <c r="AQ18" s="38"/>
      <c r="AR18" s="38"/>
      <c r="AS18" s="38"/>
      <c r="AT18" s="38"/>
      <c r="AU18" s="38"/>
      <c r="AV18" s="38"/>
      <c r="AW18" s="38"/>
      <c r="AX18" s="38"/>
      <c r="AY18" s="38"/>
      <c r="AZ18" s="38"/>
      <c r="BA18" s="38"/>
      <c r="BB18" s="38"/>
      <c r="BC18" s="38"/>
      <c r="BD18" s="38"/>
    </row>
    <row r="19" spans="1:56" s="86" customFormat="1" ht="11.25" x14ac:dyDescent="0.2">
      <c r="A19" s="163" t="s">
        <v>211</v>
      </c>
      <c r="B19" s="164" t="s">
        <v>212</v>
      </c>
      <c r="C19" s="84">
        <v>121407</v>
      </c>
      <c r="D19" s="84">
        <v>124030.31481</v>
      </c>
      <c r="E19" s="84">
        <f t="shared" si="0"/>
        <v>2623.3148099999962</v>
      </c>
      <c r="F19" s="85">
        <f t="shared" si="1"/>
        <v>2.1607607551459112E-2</v>
      </c>
      <c r="G19" s="37">
        <f t="shared" si="2"/>
        <v>5.0058483160003747E-2</v>
      </c>
      <c r="H19" s="37">
        <f t="shared" si="3"/>
        <v>6.1281434786303587E-2</v>
      </c>
      <c r="I19" s="31">
        <f t="shared" si="4"/>
        <v>105.86919542005714</v>
      </c>
      <c r="J19" s="38"/>
      <c r="K19" s="38"/>
      <c r="L19" s="38"/>
      <c r="M19" s="38"/>
      <c r="N19" s="38"/>
      <c r="O19" s="38"/>
      <c r="P19" s="38"/>
      <c r="Q19" s="38"/>
      <c r="R19" s="38"/>
      <c r="S19" s="38"/>
      <c r="T19" s="38"/>
      <c r="U19" s="38"/>
      <c r="V19" s="38"/>
      <c r="W19" s="38"/>
      <c r="X19" s="38"/>
      <c r="Y19" s="38"/>
      <c r="Z19" s="38"/>
      <c r="AA19" s="38"/>
      <c r="AB19" s="38"/>
      <c r="AC19" s="38"/>
      <c r="AD19" s="38"/>
      <c r="AE19" s="38"/>
      <c r="AF19" s="38"/>
      <c r="AG19" s="38"/>
      <c r="AH19" s="38"/>
      <c r="AI19" s="38"/>
      <c r="AJ19" s="38"/>
      <c r="AK19" s="38"/>
      <c r="AL19" s="38"/>
      <c r="AM19" s="38"/>
      <c r="AN19" s="38"/>
      <c r="AO19" s="38"/>
      <c r="AP19" s="38"/>
      <c r="AQ19" s="38"/>
      <c r="AR19" s="38"/>
      <c r="AS19" s="38"/>
      <c r="AT19" s="38"/>
      <c r="AU19" s="38"/>
      <c r="AV19" s="38"/>
      <c r="AW19" s="38"/>
      <c r="AX19" s="38"/>
      <c r="AY19" s="38"/>
      <c r="AZ19" s="38"/>
      <c r="BA19" s="38"/>
      <c r="BB19" s="38"/>
      <c r="BC19" s="38"/>
      <c r="BD19" s="38"/>
    </row>
    <row r="20" spans="1:56" s="86" customFormat="1" ht="11.25" x14ac:dyDescent="0.2">
      <c r="A20" s="163" t="s">
        <v>213</v>
      </c>
      <c r="B20" s="164" t="s">
        <v>214</v>
      </c>
      <c r="C20" s="84">
        <v>76657</v>
      </c>
      <c r="D20" s="84">
        <v>77564.832729999995</v>
      </c>
      <c r="E20" s="84">
        <f t="shared" si="0"/>
        <v>907.83272999999463</v>
      </c>
      <c r="F20" s="85">
        <f t="shared" si="1"/>
        <v>1.1842789699570744E-2</v>
      </c>
      <c r="G20" s="37">
        <f t="shared" si="2"/>
        <v>1.732339910313891E-2</v>
      </c>
      <c r="H20" s="37">
        <f t="shared" si="3"/>
        <v>3.832356828196009E-2</v>
      </c>
      <c r="I20" s="31">
        <f t="shared" si="4"/>
        <v>66.207414264777299</v>
      </c>
      <c r="J20" s="38"/>
      <c r="K20" s="38"/>
      <c r="L20" s="38"/>
      <c r="M20" s="38"/>
      <c r="N20" s="38"/>
      <c r="O20" s="38"/>
      <c r="P20" s="38"/>
      <c r="Q20" s="38"/>
      <c r="R20" s="38"/>
      <c r="S20" s="38"/>
      <c r="T20" s="38"/>
      <c r="U20" s="38"/>
      <c r="V20" s="38"/>
      <c r="W20" s="38"/>
      <c r="X20" s="38"/>
      <c r="Y20" s="38"/>
      <c r="Z20" s="38"/>
      <c r="AA20" s="38"/>
      <c r="AB20" s="38"/>
      <c r="AC20" s="38"/>
      <c r="AD20" s="38"/>
      <c r="AE20" s="38"/>
      <c r="AF20" s="38"/>
      <c r="AG20" s="38"/>
      <c r="AH20" s="38"/>
      <c r="AI20" s="38"/>
      <c r="AJ20" s="38"/>
      <c r="AK20" s="38"/>
      <c r="AL20" s="38"/>
      <c r="AM20" s="38"/>
      <c r="AN20" s="38"/>
      <c r="AO20" s="38"/>
      <c r="AP20" s="38"/>
      <c r="AQ20" s="38"/>
      <c r="AR20" s="38"/>
      <c r="AS20" s="38"/>
      <c r="AT20" s="38"/>
      <c r="AU20" s="38"/>
      <c r="AV20" s="38"/>
      <c r="AW20" s="38"/>
      <c r="AX20" s="38"/>
      <c r="AY20" s="38"/>
      <c r="AZ20" s="38"/>
      <c r="BA20" s="38"/>
      <c r="BB20" s="38"/>
      <c r="BC20" s="38"/>
      <c r="BD20" s="38"/>
    </row>
    <row r="21" spans="1:56" x14ac:dyDescent="0.2">
      <c r="A21" s="162" t="s">
        <v>215</v>
      </c>
      <c r="B21" s="80" t="s">
        <v>216</v>
      </c>
      <c r="C21" s="81">
        <v>287059</v>
      </c>
      <c r="D21" s="81">
        <v>258886.23843999999</v>
      </c>
      <c r="E21" s="81">
        <f t="shared" si="0"/>
        <v>-28172.761560000014</v>
      </c>
      <c r="F21" s="82">
        <f t="shared" si="1"/>
        <v>-9.8142756576174286E-2</v>
      </c>
      <c r="G21" s="82">
        <f t="shared" si="2"/>
        <v>-0.537596823967179</v>
      </c>
      <c r="H21" s="82">
        <f t="shared" si="3"/>
        <v>0.12791163323527405</v>
      </c>
      <c r="I21" s="83">
        <f t="shared" si="4"/>
        <v>220.97886158681328</v>
      </c>
      <c r="J21" s="38"/>
      <c r="K21" s="38"/>
      <c r="L21" s="38"/>
      <c r="M21" s="38"/>
      <c r="N21" s="38"/>
      <c r="O21" s="38"/>
      <c r="P21" s="38"/>
      <c r="Q21" s="38"/>
      <c r="R21" s="38"/>
      <c r="S21" s="38"/>
      <c r="T21" s="38"/>
      <c r="U21" s="38"/>
      <c r="V21" s="38"/>
      <c r="W21" s="38"/>
      <c r="X21" s="38"/>
      <c r="Y21" s="38"/>
      <c r="Z21" s="38"/>
      <c r="AA21" s="38"/>
      <c r="AB21" s="38"/>
      <c r="AC21" s="38"/>
      <c r="AD21" s="38"/>
      <c r="AE21" s="38"/>
      <c r="AF21" s="38"/>
      <c r="AG21" s="38"/>
      <c r="AH21" s="38"/>
      <c r="AI21" s="38"/>
      <c r="AJ21" s="38"/>
      <c r="AK21" s="38"/>
      <c r="AL21" s="38"/>
      <c r="AM21" s="38"/>
      <c r="AN21" s="38"/>
      <c r="AO21" s="38"/>
      <c r="AP21" s="38"/>
      <c r="AQ21" s="38"/>
      <c r="AR21" s="38"/>
      <c r="AS21" s="38"/>
      <c r="AT21" s="38"/>
      <c r="AU21" s="38"/>
      <c r="AV21" s="38"/>
      <c r="AW21" s="38"/>
      <c r="AX21" s="38"/>
      <c r="AY21" s="38"/>
      <c r="AZ21" s="38"/>
      <c r="BA21" s="38"/>
      <c r="BB21" s="38"/>
      <c r="BC21" s="38"/>
      <c r="BD21" s="38"/>
    </row>
    <row r="22" spans="1:56" x14ac:dyDescent="0.2">
      <c r="A22" s="163" t="s">
        <v>217</v>
      </c>
      <c r="B22" s="165" t="s">
        <v>218</v>
      </c>
      <c r="C22" s="84">
        <v>9922</v>
      </c>
      <c r="D22" s="84">
        <v>9559.3639500000008</v>
      </c>
      <c r="E22" s="84">
        <f t="shared" si="0"/>
        <v>-362.63604999999916</v>
      </c>
      <c r="F22" s="85">
        <f t="shared" si="1"/>
        <v>-3.6548684740979553E-2</v>
      </c>
      <c r="G22" s="37">
        <f t="shared" si="2"/>
        <v>-6.9198750119263269E-3</v>
      </c>
      <c r="H22" s="37">
        <f t="shared" si="3"/>
        <v>4.7231319165629915E-3</v>
      </c>
      <c r="I22" s="31">
        <f t="shared" si="4"/>
        <v>8.1596355831582805</v>
      </c>
      <c r="J22" s="38"/>
      <c r="K22" s="38"/>
      <c r="L22" s="38"/>
      <c r="M22" s="38"/>
      <c r="N22" s="38"/>
      <c r="O22" s="38"/>
      <c r="P22" s="38"/>
      <c r="Q22" s="38"/>
      <c r="R22" s="38"/>
      <c r="S22" s="38"/>
      <c r="T22" s="38"/>
      <c r="U22" s="38"/>
      <c r="V22" s="38"/>
      <c r="W22" s="38"/>
      <c r="X22" s="38"/>
      <c r="Y22" s="38"/>
      <c r="Z22" s="38"/>
      <c r="AA22" s="38"/>
      <c r="AB22" s="38"/>
      <c r="AC22" s="38"/>
      <c r="AD22" s="38"/>
      <c r="AE22" s="38"/>
      <c r="AF22" s="38"/>
      <c r="AG22" s="38"/>
      <c r="AH22" s="38"/>
      <c r="AI22" s="38"/>
      <c r="AJ22" s="38"/>
      <c r="AK22" s="38"/>
      <c r="AL22" s="38"/>
      <c r="AM22" s="38"/>
      <c r="AN22" s="38"/>
      <c r="AO22" s="38"/>
      <c r="AP22" s="38"/>
      <c r="AQ22" s="38"/>
      <c r="AR22" s="38"/>
      <c r="AS22" s="38"/>
      <c r="AT22" s="38"/>
      <c r="AU22" s="38"/>
      <c r="AV22" s="38"/>
      <c r="AW22" s="38"/>
      <c r="AX22" s="38"/>
      <c r="AY22" s="38"/>
      <c r="AZ22" s="38"/>
      <c r="BA22" s="38"/>
      <c r="BB22" s="38"/>
      <c r="BC22" s="38"/>
      <c r="BD22" s="38"/>
    </row>
    <row r="23" spans="1:56" x14ac:dyDescent="0.2">
      <c r="A23" s="163" t="s">
        <v>219</v>
      </c>
      <c r="B23" s="165" t="s">
        <v>220</v>
      </c>
      <c r="C23" s="84">
        <v>18345</v>
      </c>
      <c r="D23" s="84">
        <v>16066.111489999999</v>
      </c>
      <c r="E23" s="84">
        <f t="shared" si="0"/>
        <v>-2278.8885100000007</v>
      </c>
      <c r="F23" s="85">
        <f t="shared" si="1"/>
        <v>-0.12422395802671031</v>
      </c>
      <c r="G23" s="37">
        <f t="shared" si="2"/>
        <v>-4.3486089304455695E-2</v>
      </c>
      <c r="H23" s="37">
        <f t="shared" si="3"/>
        <v>7.938013904521167E-3</v>
      </c>
      <c r="I23" s="31">
        <f t="shared" si="4"/>
        <v>13.713633635299772</v>
      </c>
      <c r="J23" s="38"/>
      <c r="K23" s="38"/>
      <c r="L23" s="38"/>
      <c r="M23" s="38"/>
      <c r="N23" s="38"/>
      <c r="O23" s="38"/>
      <c r="P23" s="38"/>
      <c r="Q23" s="38"/>
      <c r="R23" s="38"/>
      <c r="S23" s="38"/>
      <c r="T23" s="38"/>
      <c r="U23" s="38"/>
      <c r="V23" s="38"/>
      <c r="W23" s="38"/>
      <c r="X23" s="38"/>
      <c r="Y23" s="38"/>
      <c r="Z23" s="38"/>
      <c r="AA23" s="38"/>
      <c r="AB23" s="38"/>
      <c r="AC23" s="38"/>
      <c r="AD23" s="38"/>
      <c r="AE23" s="38"/>
      <c r="AF23" s="38"/>
      <c r="AG23" s="38"/>
      <c r="AH23" s="38"/>
      <c r="AI23" s="38"/>
      <c r="AJ23" s="38"/>
      <c r="AK23" s="38"/>
      <c r="AL23" s="38"/>
      <c r="AM23" s="38"/>
      <c r="AN23" s="38"/>
      <c r="AO23" s="38"/>
      <c r="AP23" s="38"/>
      <c r="AQ23" s="38"/>
      <c r="AR23" s="38"/>
      <c r="AS23" s="38"/>
      <c r="AT23" s="38"/>
      <c r="AU23" s="38"/>
      <c r="AV23" s="38"/>
      <c r="AW23" s="38"/>
      <c r="AX23" s="38"/>
      <c r="AY23" s="38"/>
      <c r="AZ23" s="38"/>
      <c r="BA23" s="38"/>
      <c r="BB23" s="38"/>
      <c r="BC23" s="38"/>
      <c r="BD23" s="38"/>
    </row>
    <row r="24" spans="1:56" x14ac:dyDescent="0.2">
      <c r="A24" s="163" t="s">
        <v>221</v>
      </c>
      <c r="B24" s="165" t="s">
        <v>222</v>
      </c>
      <c r="C24" s="84">
        <v>47051</v>
      </c>
      <c r="D24" s="84">
        <v>49569.180240000002</v>
      </c>
      <c r="E24" s="84">
        <f t="shared" si="0"/>
        <v>2518.1802400000015</v>
      </c>
      <c r="F24" s="85">
        <f t="shared" si="1"/>
        <v>5.3520227837878076E-2</v>
      </c>
      <c r="G24" s="37">
        <f t="shared" si="2"/>
        <v>4.8052289667016537E-2</v>
      </c>
      <c r="H24" s="37">
        <f t="shared" si="3"/>
        <v>2.4491355125087329E-2</v>
      </c>
      <c r="I24" s="31">
        <f t="shared" si="4"/>
        <v>42.311020799065851</v>
      </c>
      <c r="J24" s="38"/>
      <c r="K24" s="38"/>
      <c r="L24" s="38"/>
      <c r="M24" s="38"/>
      <c r="N24" s="38"/>
      <c r="O24" s="38"/>
      <c r="P24" s="38"/>
      <c r="Q24" s="38"/>
      <c r="R24" s="38"/>
      <c r="S24" s="38"/>
      <c r="T24" s="38"/>
      <c r="U24" s="38"/>
      <c r="V24" s="38"/>
      <c r="W24" s="38"/>
      <c r="X24" s="38"/>
      <c r="Y24" s="38"/>
      <c r="Z24" s="38"/>
      <c r="AA24" s="38"/>
      <c r="AB24" s="38"/>
      <c r="AC24" s="38"/>
      <c r="AD24" s="38"/>
      <c r="AE24" s="38"/>
      <c r="AF24" s="38"/>
      <c r="AG24" s="38"/>
      <c r="AH24" s="38"/>
      <c r="AI24" s="38"/>
      <c r="AJ24" s="38"/>
      <c r="AK24" s="38"/>
      <c r="AL24" s="38"/>
      <c r="AM24" s="38"/>
      <c r="AN24" s="38"/>
      <c r="AO24" s="38"/>
      <c r="AP24" s="38"/>
      <c r="AQ24" s="38"/>
      <c r="AR24" s="38"/>
      <c r="AS24" s="38"/>
      <c r="AT24" s="38"/>
      <c r="AU24" s="38"/>
      <c r="AV24" s="38"/>
      <c r="AW24" s="38"/>
      <c r="AX24" s="38"/>
      <c r="AY24" s="38"/>
      <c r="AZ24" s="38"/>
      <c r="BA24" s="38"/>
      <c r="BB24" s="38"/>
      <c r="BC24" s="38"/>
      <c r="BD24" s="38"/>
    </row>
    <row r="25" spans="1:56" x14ac:dyDescent="0.2">
      <c r="A25" s="163" t="s">
        <v>223</v>
      </c>
      <c r="B25" s="165" t="s">
        <v>224</v>
      </c>
      <c r="C25" s="84">
        <v>33814</v>
      </c>
      <c r="D25" s="84">
        <v>34549.942419999999</v>
      </c>
      <c r="E25" s="84">
        <f t="shared" si="0"/>
        <v>735.9424199999994</v>
      </c>
      <c r="F25" s="85">
        <f t="shared" si="1"/>
        <v>2.176442952623172E-2</v>
      </c>
      <c r="G25" s="37">
        <f t="shared" si="2"/>
        <v>1.404336265623508E-2</v>
      </c>
      <c r="H25" s="37">
        <f t="shared" si="3"/>
        <v>1.7070585094661615E-2</v>
      </c>
      <c r="I25" s="31">
        <f t="shared" si="4"/>
        <v>29.490972520854978</v>
      </c>
      <c r="J25" s="38"/>
      <c r="K25" s="38"/>
      <c r="L25" s="38"/>
      <c r="M25" s="38"/>
      <c r="N25" s="38"/>
      <c r="O25" s="38"/>
      <c r="P25" s="38"/>
      <c r="Q25" s="38"/>
      <c r="R25" s="38"/>
      <c r="S25" s="38"/>
      <c r="T25" s="38"/>
      <c r="U25" s="38"/>
      <c r="V25" s="38"/>
      <c r="W25" s="38"/>
      <c r="X25" s="38"/>
      <c r="Y25" s="38"/>
      <c r="Z25" s="38"/>
      <c r="AA25" s="38"/>
      <c r="AB25" s="38"/>
      <c r="AC25" s="38"/>
      <c r="AD25" s="38"/>
      <c r="AE25" s="38"/>
      <c r="AF25" s="38"/>
      <c r="AG25" s="38"/>
      <c r="AH25" s="38"/>
      <c r="AI25" s="38"/>
      <c r="AJ25" s="38"/>
      <c r="AK25" s="38"/>
      <c r="AL25" s="38"/>
      <c r="AM25" s="38"/>
      <c r="AN25" s="38"/>
      <c r="AO25" s="38"/>
      <c r="AP25" s="38"/>
      <c r="AQ25" s="38"/>
      <c r="AR25" s="38"/>
      <c r="AS25" s="38"/>
      <c r="AT25" s="38"/>
      <c r="AU25" s="38"/>
      <c r="AV25" s="38"/>
      <c r="AW25" s="38"/>
      <c r="AX25" s="38"/>
      <c r="AY25" s="38"/>
      <c r="AZ25" s="38"/>
      <c r="BA25" s="38"/>
      <c r="BB25" s="38"/>
      <c r="BC25" s="38"/>
      <c r="BD25" s="38"/>
    </row>
    <row r="26" spans="1:56" x14ac:dyDescent="0.2">
      <c r="A26" s="163" t="s">
        <v>225</v>
      </c>
      <c r="B26" s="165" t="s">
        <v>226</v>
      </c>
      <c r="C26" s="84">
        <v>169169</v>
      </c>
      <c r="D26" s="84">
        <v>140318.61598</v>
      </c>
      <c r="E26" s="84">
        <f t="shared" si="0"/>
        <v>-28850.384019999998</v>
      </c>
      <c r="F26" s="85">
        <f t="shared" si="1"/>
        <v>-0.17054178968960032</v>
      </c>
      <c r="G26" s="37">
        <f t="shared" si="2"/>
        <v>-0.55052731647743536</v>
      </c>
      <c r="H26" s="37">
        <f t="shared" si="3"/>
        <v>6.9329229129630923E-2</v>
      </c>
      <c r="I26" s="31">
        <f t="shared" si="4"/>
        <v>119.77248464631685</v>
      </c>
      <c r="J26" s="38"/>
      <c r="K26" s="38"/>
      <c r="L26" s="38"/>
      <c r="M26" s="38"/>
      <c r="N26" s="38"/>
      <c r="O26" s="38"/>
      <c r="P26" s="38"/>
      <c r="Q26" s="38"/>
      <c r="R26" s="38"/>
      <c r="S26" s="38"/>
      <c r="T26" s="38"/>
      <c r="U26" s="38"/>
      <c r="V26" s="38"/>
      <c r="W26" s="38"/>
      <c r="X26" s="38"/>
      <c r="Y26" s="38"/>
      <c r="Z26" s="38"/>
      <c r="AA26" s="38"/>
      <c r="AB26" s="38"/>
      <c r="AC26" s="38"/>
      <c r="AD26" s="38"/>
      <c r="AE26" s="38"/>
      <c r="AF26" s="38"/>
      <c r="AG26" s="38"/>
      <c r="AH26" s="38"/>
      <c r="AI26" s="38"/>
      <c r="AJ26" s="38"/>
      <c r="AK26" s="38"/>
      <c r="AL26" s="38"/>
      <c r="AM26" s="38"/>
      <c r="AN26" s="38"/>
      <c r="AO26" s="38"/>
      <c r="AP26" s="38"/>
      <c r="AQ26" s="38"/>
      <c r="AR26" s="38"/>
      <c r="AS26" s="38"/>
      <c r="AT26" s="38"/>
      <c r="AU26" s="38"/>
      <c r="AV26" s="38"/>
      <c r="AW26" s="38"/>
      <c r="AX26" s="38"/>
      <c r="AY26" s="38"/>
      <c r="AZ26" s="38"/>
      <c r="BA26" s="38"/>
      <c r="BB26" s="38"/>
      <c r="BC26" s="38"/>
      <c r="BD26" s="38"/>
    </row>
    <row r="27" spans="1:56" x14ac:dyDescent="0.2">
      <c r="A27" s="163" t="s">
        <v>227</v>
      </c>
      <c r="B27" s="165" t="s">
        <v>228</v>
      </c>
      <c r="C27" s="84">
        <v>1782</v>
      </c>
      <c r="D27" s="84">
        <v>1918.5050200000001</v>
      </c>
      <c r="E27" s="84">
        <f t="shared" si="0"/>
        <v>136.50502000000006</v>
      </c>
      <c r="F27" s="85">
        <f t="shared" si="1"/>
        <v>7.6602143658810365E-2</v>
      </c>
      <c r="G27" s="37">
        <f t="shared" si="2"/>
        <v>2.6048090831027586E-3</v>
      </c>
      <c r="H27" s="37">
        <f t="shared" si="3"/>
        <v>9.4790326421752367E-4</v>
      </c>
      <c r="I27" s="31">
        <f t="shared" si="4"/>
        <v>1.6375882233942758</v>
      </c>
      <c r="J27" s="38"/>
      <c r="K27" s="38"/>
      <c r="L27" s="38"/>
      <c r="M27" s="38"/>
      <c r="N27" s="38"/>
      <c r="O27" s="38"/>
      <c r="P27" s="38"/>
      <c r="Q27" s="38"/>
      <c r="R27" s="38"/>
      <c r="S27" s="38"/>
      <c r="T27" s="38"/>
      <c r="U27" s="38"/>
      <c r="V27" s="38"/>
      <c r="W27" s="38"/>
      <c r="X27" s="38"/>
      <c r="Y27" s="38"/>
      <c r="Z27" s="38"/>
      <c r="AA27" s="38"/>
      <c r="AB27" s="38"/>
      <c r="AC27" s="38"/>
      <c r="AD27" s="38"/>
      <c r="AE27" s="38"/>
      <c r="AF27" s="38"/>
      <c r="AG27" s="38"/>
      <c r="AH27" s="38"/>
      <c r="AI27" s="38"/>
      <c r="AJ27" s="38"/>
      <c r="AK27" s="38"/>
      <c r="AL27" s="38"/>
      <c r="AM27" s="38"/>
      <c r="AN27" s="38"/>
      <c r="AO27" s="38"/>
      <c r="AP27" s="38"/>
      <c r="AQ27" s="38"/>
      <c r="AR27" s="38"/>
      <c r="AS27" s="38"/>
      <c r="AT27" s="38"/>
      <c r="AU27" s="38"/>
      <c r="AV27" s="38"/>
      <c r="AW27" s="38"/>
      <c r="AX27" s="38"/>
      <c r="AY27" s="38"/>
      <c r="AZ27" s="38"/>
      <c r="BA27" s="38"/>
      <c r="BB27" s="38"/>
      <c r="BC27" s="38"/>
      <c r="BD27" s="38"/>
    </row>
    <row r="28" spans="1:56" x14ac:dyDescent="0.2">
      <c r="A28" s="163" t="s">
        <v>229</v>
      </c>
      <c r="B28" s="165" t="s">
        <v>230</v>
      </c>
      <c r="C28" s="84">
        <v>6976</v>
      </c>
      <c r="D28" s="84">
        <v>6904.5193499999996</v>
      </c>
      <c r="E28" s="84">
        <f t="shared" si="0"/>
        <v>-71.480650000000423</v>
      </c>
      <c r="F28" s="85">
        <f t="shared" si="1"/>
        <v>-1.0246652809633088E-2</v>
      </c>
      <c r="G28" s="37">
        <f t="shared" si="2"/>
        <v>-1.3640043888941975E-3</v>
      </c>
      <c r="H28" s="37">
        <f t="shared" si="3"/>
        <v>3.411414805533349E-3</v>
      </c>
      <c r="I28" s="31">
        <f t="shared" si="4"/>
        <v>5.8935261872590248</v>
      </c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8"/>
      <c r="AA28" s="38"/>
      <c r="AB28" s="38"/>
      <c r="AC28" s="38"/>
      <c r="AD28" s="38"/>
      <c r="AE28" s="38"/>
      <c r="AF28" s="38"/>
      <c r="AG28" s="38"/>
      <c r="AH28" s="38"/>
      <c r="AI28" s="38"/>
      <c r="AJ28" s="38"/>
      <c r="AK28" s="38"/>
      <c r="AL28" s="38"/>
      <c r="AM28" s="38"/>
      <c r="AN28" s="38"/>
      <c r="AO28" s="38"/>
      <c r="AP28" s="38"/>
      <c r="AQ28" s="38"/>
      <c r="AR28" s="38"/>
      <c r="AS28" s="38"/>
      <c r="AT28" s="38"/>
      <c r="AU28" s="38"/>
      <c r="AV28" s="38"/>
      <c r="AW28" s="38"/>
      <c r="AX28" s="38"/>
      <c r="AY28" s="38"/>
      <c r="AZ28" s="38"/>
      <c r="BA28" s="38"/>
      <c r="BB28" s="38"/>
      <c r="BC28" s="38"/>
      <c r="BD28" s="38"/>
    </row>
    <row r="29" spans="1:56" x14ac:dyDescent="0.2">
      <c r="A29" s="162" t="s">
        <v>231</v>
      </c>
      <c r="B29" s="80" t="s">
        <v>232</v>
      </c>
      <c r="C29" s="81">
        <v>316178</v>
      </c>
      <c r="D29" s="81">
        <v>326381.35249999998</v>
      </c>
      <c r="E29" s="81">
        <f t="shared" si="0"/>
        <v>10203.352499999979</v>
      </c>
      <c r="F29" s="82">
        <f t="shared" si="1"/>
        <v>3.2270912270935925E-2</v>
      </c>
      <c r="G29" s="82">
        <f t="shared" si="2"/>
        <v>0.19470188913271594</v>
      </c>
      <c r="H29" s="82">
        <f t="shared" si="3"/>
        <v>0.16125991133162643</v>
      </c>
      <c r="I29" s="83">
        <f t="shared" si="4"/>
        <v>278.59101415825114</v>
      </c>
    </row>
    <row r="30" spans="1:56" s="86" customFormat="1" ht="11.25" x14ac:dyDescent="0.2">
      <c r="A30" s="163" t="s">
        <v>233</v>
      </c>
      <c r="B30" s="164" t="s">
        <v>234</v>
      </c>
      <c r="C30" s="84">
        <v>48375</v>
      </c>
      <c r="D30" s="84">
        <v>48204.955889999997</v>
      </c>
      <c r="E30" s="84">
        <f t="shared" si="0"/>
        <v>-170.04411000000255</v>
      </c>
      <c r="F30" s="85">
        <f t="shared" si="1"/>
        <v>-3.5151237209302853E-3</v>
      </c>
      <c r="G30" s="37">
        <f t="shared" si="2"/>
        <v>-3.2448069840664544E-3</v>
      </c>
      <c r="H30" s="37">
        <f t="shared" si="3"/>
        <v>2.3817313253416839E-2</v>
      </c>
      <c r="I30" s="31">
        <f t="shared" si="4"/>
        <v>41.146552785514487</v>
      </c>
      <c r="J30" s="38"/>
      <c r="K30" s="38"/>
      <c r="L30" s="38"/>
      <c r="M30" s="38"/>
      <c r="N30" s="38"/>
      <c r="O30" s="38"/>
      <c r="P30" s="38"/>
      <c r="Q30" s="38"/>
      <c r="R30" s="38"/>
      <c r="S30" s="38"/>
      <c r="T30" s="38"/>
      <c r="U30" s="38"/>
      <c r="V30" s="38"/>
      <c r="W30" s="38"/>
      <c r="X30" s="38"/>
      <c r="Y30" s="38"/>
      <c r="Z30" s="38"/>
      <c r="AA30" s="38"/>
      <c r="AB30" s="38"/>
      <c r="AC30" s="38"/>
      <c r="AD30" s="38"/>
      <c r="AE30" s="38"/>
      <c r="AF30" s="38"/>
      <c r="AG30" s="38"/>
      <c r="AH30" s="38"/>
      <c r="AI30" s="38"/>
      <c r="AJ30" s="38"/>
      <c r="AK30" s="38"/>
      <c r="AL30" s="38"/>
      <c r="AM30" s="38"/>
      <c r="AN30" s="38"/>
      <c r="AO30" s="38"/>
      <c r="AP30" s="38"/>
      <c r="AQ30" s="38"/>
      <c r="AR30" s="38"/>
      <c r="AS30" s="38"/>
      <c r="AT30" s="38"/>
      <c r="AU30" s="38"/>
      <c r="AV30" s="38"/>
      <c r="AW30" s="38"/>
      <c r="AX30" s="38"/>
      <c r="AY30" s="38"/>
      <c r="AZ30" s="38"/>
      <c r="BA30" s="38"/>
      <c r="BB30" s="38"/>
      <c r="BC30" s="38"/>
      <c r="BD30" s="38"/>
    </row>
    <row r="31" spans="1:56" s="86" customFormat="1" ht="11.25" x14ac:dyDescent="0.2">
      <c r="A31" s="163" t="s">
        <v>235</v>
      </c>
      <c r="B31" s="164" t="s">
        <v>236</v>
      </c>
      <c r="C31" s="84">
        <v>192600</v>
      </c>
      <c r="D31" s="84">
        <v>203623.56630000001</v>
      </c>
      <c r="E31" s="84">
        <f t="shared" si="0"/>
        <v>11023.566300000006</v>
      </c>
      <c r="F31" s="85">
        <f t="shared" si="1"/>
        <v>5.7235546728971992E-2</v>
      </c>
      <c r="G31" s="37">
        <f t="shared" si="2"/>
        <v>0.21035333078904697</v>
      </c>
      <c r="H31" s="37">
        <f t="shared" si="3"/>
        <v>0.10060721298888409</v>
      </c>
      <c r="I31" s="31">
        <f t="shared" si="4"/>
        <v>173.80801754609092</v>
      </c>
      <c r="J31" s="38"/>
      <c r="K31" s="38"/>
      <c r="L31" s="38"/>
      <c r="M31" s="38"/>
      <c r="N31" s="38"/>
      <c r="O31" s="38"/>
      <c r="P31" s="38"/>
      <c r="Q31" s="38"/>
      <c r="R31" s="38"/>
      <c r="S31" s="38"/>
      <c r="T31" s="38"/>
      <c r="U31" s="38"/>
      <c r="V31" s="38"/>
      <c r="W31" s="38"/>
      <c r="X31" s="38"/>
      <c r="Y31" s="38"/>
      <c r="Z31" s="38"/>
      <c r="AA31" s="38"/>
      <c r="AB31" s="38"/>
      <c r="AC31" s="38"/>
      <c r="AD31" s="38"/>
      <c r="AE31" s="38"/>
      <c r="AF31" s="38"/>
      <c r="AG31" s="38"/>
      <c r="AH31" s="38"/>
      <c r="AI31" s="38"/>
      <c r="AJ31" s="38"/>
      <c r="AK31" s="38"/>
      <c r="AL31" s="38"/>
      <c r="AM31" s="38"/>
      <c r="AN31" s="38"/>
      <c r="AO31" s="38"/>
      <c r="AP31" s="38"/>
      <c r="AQ31" s="38"/>
      <c r="AR31" s="38"/>
      <c r="AS31" s="38"/>
      <c r="AT31" s="38"/>
      <c r="AU31" s="38"/>
      <c r="AV31" s="38"/>
      <c r="AW31" s="38"/>
      <c r="AX31" s="38"/>
      <c r="AY31" s="38"/>
      <c r="AZ31" s="38"/>
      <c r="BA31" s="38"/>
      <c r="BB31" s="38"/>
      <c r="BC31" s="38"/>
      <c r="BD31" s="38"/>
    </row>
    <row r="32" spans="1:56" s="86" customFormat="1" ht="11.25" x14ac:dyDescent="0.2">
      <c r="A32" s="163" t="s">
        <v>237</v>
      </c>
      <c r="B32" s="164" t="s">
        <v>238</v>
      </c>
      <c r="C32" s="84">
        <v>71928</v>
      </c>
      <c r="D32" s="84">
        <v>71162.845360000007</v>
      </c>
      <c r="E32" s="84">
        <f t="shared" si="0"/>
        <v>-765.15463999999338</v>
      </c>
      <c r="F32" s="85">
        <f t="shared" si="1"/>
        <v>-1.0637785563341027E-2</v>
      </c>
      <c r="G32" s="37">
        <f t="shared" si="2"/>
        <v>-1.4600794580669657E-2</v>
      </c>
      <c r="H32" s="37">
        <f t="shared" si="3"/>
        <v>3.5160446652232821E-2</v>
      </c>
      <c r="I32" s="31">
        <f t="shared" si="4"/>
        <v>60.74283689117685</v>
      </c>
      <c r="J32" s="38"/>
      <c r="K32" s="38"/>
      <c r="L32" s="38"/>
      <c r="M32" s="38"/>
      <c r="N32" s="38"/>
      <c r="O32" s="38"/>
      <c r="P32" s="38"/>
      <c r="Q32" s="38"/>
      <c r="R32" s="38"/>
      <c r="S32" s="38"/>
      <c r="T32" s="38"/>
      <c r="U32" s="38"/>
      <c r="V32" s="38"/>
      <c r="W32" s="38"/>
      <c r="X32" s="38"/>
      <c r="Y32" s="38"/>
      <c r="Z32" s="38"/>
      <c r="AA32" s="38"/>
      <c r="AB32" s="38"/>
      <c r="AC32" s="38"/>
      <c r="AD32" s="38"/>
      <c r="AE32" s="38"/>
      <c r="AF32" s="38"/>
      <c r="AG32" s="38"/>
      <c r="AH32" s="38"/>
      <c r="AI32" s="38"/>
      <c r="AJ32" s="38"/>
      <c r="AK32" s="38"/>
      <c r="AL32" s="38"/>
      <c r="AM32" s="38"/>
      <c r="AN32" s="38"/>
      <c r="AO32" s="38"/>
      <c r="AP32" s="38"/>
      <c r="AQ32" s="38"/>
      <c r="AR32" s="38"/>
      <c r="AS32" s="38"/>
      <c r="AT32" s="38"/>
      <c r="AU32" s="38"/>
      <c r="AV32" s="38"/>
      <c r="AW32" s="38"/>
      <c r="AX32" s="38"/>
      <c r="AY32" s="38"/>
      <c r="AZ32" s="38"/>
      <c r="BA32" s="38"/>
      <c r="BB32" s="38"/>
      <c r="BC32" s="38"/>
      <c r="BD32" s="38"/>
    </row>
    <row r="33" spans="1:56" s="86" customFormat="1" ht="11.25" x14ac:dyDescent="0.2">
      <c r="A33" s="163" t="s">
        <v>239</v>
      </c>
      <c r="B33" s="164" t="s">
        <v>240</v>
      </c>
      <c r="C33" s="84">
        <v>3274</v>
      </c>
      <c r="D33" s="84">
        <v>3389.9849899999999</v>
      </c>
      <c r="E33" s="84">
        <f t="shared" si="0"/>
        <v>115.98498999999993</v>
      </c>
      <c r="F33" s="85">
        <f t="shared" si="1"/>
        <v>3.5426081246182017E-2</v>
      </c>
      <c r="G33" s="37">
        <f t="shared" si="2"/>
        <v>2.2132428203415692E-3</v>
      </c>
      <c r="H33" s="37">
        <f t="shared" si="3"/>
        <v>1.6749384568560623E-3</v>
      </c>
      <c r="I33" s="31">
        <f t="shared" si="4"/>
        <v>2.8936069696118705</v>
      </c>
      <c r="J33" s="38"/>
      <c r="K33" s="38"/>
      <c r="L33" s="38"/>
      <c r="M33" s="38"/>
      <c r="N33" s="38"/>
      <c r="O33" s="38"/>
      <c r="P33" s="38"/>
      <c r="Q33" s="38"/>
      <c r="R33" s="38"/>
      <c r="S33" s="38"/>
      <c r="T33" s="38"/>
      <c r="U33" s="38"/>
      <c r="V33" s="38"/>
      <c r="W33" s="38"/>
      <c r="X33" s="38"/>
      <c r="Y33" s="38"/>
      <c r="Z33" s="38"/>
      <c r="AA33" s="38"/>
      <c r="AB33" s="38"/>
      <c r="AC33" s="38"/>
      <c r="AD33" s="38"/>
      <c r="AE33" s="38"/>
      <c r="AF33" s="38"/>
      <c r="AG33" s="38"/>
      <c r="AH33" s="38"/>
      <c r="AI33" s="38"/>
      <c r="AJ33" s="38"/>
      <c r="AK33" s="38"/>
      <c r="AL33" s="38"/>
      <c r="AM33" s="38"/>
      <c r="AN33" s="38"/>
      <c r="AO33" s="38"/>
      <c r="AP33" s="38"/>
      <c r="AQ33" s="38"/>
      <c r="AR33" s="38"/>
      <c r="AS33" s="38"/>
      <c r="AT33" s="38"/>
      <c r="AU33" s="38"/>
      <c r="AV33" s="38"/>
      <c r="AW33" s="38"/>
      <c r="AX33" s="38"/>
      <c r="AY33" s="38"/>
      <c r="AZ33" s="38"/>
      <c r="BA33" s="38"/>
      <c r="BB33" s="38"/>
      <c r="BC33" s="38"/>
      <c r="BD33" s="38"/>
    </row>
    <row r="34" spans="1:56" x14ac:dyDescent="0.2">
      <c r="A34" s="190" t="s">
        <v>130</v>
      </c>
      <c r="B34" s="190"/>
      <c r="C34" s="87">
        <v>1971540</v>
      </c>
      <c r="D34" s="87">
        <v>2023945.9974400001</v>
      </c>
      <c r="E34" s="42">
        <f t="shared" si="0"/>
        <v>52405.997440000065</v>
      </c>
      <c r="F34" s="36">
        <f t="shared" si="1"/>
        <v>2.6581249906164756E-2</v>
      </c>
      <c r="G34" s="88">
        <f t="shared" si="2"/>
        <v>1.0000190332983507</v>
      </c>
      <c r="H34" s="88">
        <f t="shared" si="3"/>
        <v>0.99999999873514411</v>
      </c>
      <c r="I34" s="89">
        <f t="shared" si="4"/>
        <v>1727.5900222527043</v>
      </c>
    </row>
    <row r="35" spans="1:56" x14ac:dyDescent="0.2">
      <c r="A35" s="172" t="s">
        <v>241</v>
      </c>
      <c r="B35" s="172"/>
      <c r="C35" s="172"/>
      <c r="D35" s="172"/>
      <c r="E35" s="172"/>
      <c r="F35" s="172"/>
      <c r="G35" s="172"/>
      <c r="H35" s="172"/>
      <c r="I35" s="172"/>
    </row>
    <row r="36" spans="1:56" x14ac:dyDescent="0.2">
      <c r="A36" s="191" t="s">
        <v>242</v>
      </c>
      <c r="B36" s="191"/>
      <c r="C36" s="191"/>
      <c r="D36" s="191"/>
      <c r="E36" s="191"/>
      <c r="F36" s="191"/>
      <c r="G36" s="191"/>
      <c r="H36" s="191"/>
      <c r="I36" s="191"/>
    </row>
  </sheetData>
  <mergeCells count="9">
    <mergeCell ref="A34:B34"/>
    <mergeCell ref="A35:I35"/>
    <mergeCell ref="A36:I36"/>
    <mergeCell ref="A1:I1"/>
    <mergeCell ref="A2:B3"/>
    <mergeCell ref="C2:D2"/>
    <mergeCell ref="E2:E3"/>
    <mergeCell ref="F2:F3"/>
    <mergeCell ref="G2:I2"/>
  </mergeCells>
  <pageMargins left="0.74803149606299213" right="0.74803149606299213" top="1.3775590551181103" bottom="1.3775590551181103" header="0.98385826771653528" footer="0.98385826771653528"/>
  <pageSetup paperSize="0" fitToWidth="0" fitToHeight="0" orientation="portrait" horizontalDpi="0" verticalDpi="0" copies="0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theme="9"/>
  </sheetPr>
  <dimension ref="A1:AMJ18"/>
  <sheetViews>
    <sheetView workbookViewId="0">
      <selection sqref="A1:G1"/>
    </sheetView>
  </sheetViews>
  <sheetFormatPr baseColWidth="10" defaultRowHeight="14.25" x14ac:dyDescent="0.2"/>
  <cols>
    <col min="1" max="1" width="31.25" style="1" customWidth="1"/>
    <col min="2" max="4" width="9.375" style="1" customWidth="1"/>
    <col min="5" max="5" width="9.625" style="1" customWidth="1"/>
    <col min="6" max="1024" width="10.125" style="1" customWidth="1"/>
  </cols>
  <sheetData>
    <row r="1" spans="1:7" ht="22.5" customHeight="1" x14ac:dyDescent="0.2">
      <c r="A1" s="189" t="s">
        <v>243</v>
      </c>
      <c r="B1" s="189"/>
      <c r="C1" s="189"/>
      <c r="D1" s="189"/>
      <c r="E1" s="189"/>
    </row>
    <row r="2" spans="1:7" x14ac:dyDescent="0.2">
      <c r="A2" s="174"/>
      <c r="B2" s="188" t="s">
        <v>244</v>
      </c>
      <c r="C2" s="188"/>
      <c r="D2" s="188"/>
      <c r="E2" s="46" t="s">
        <v>245</v>
      </c>
    </row>
    <row r="3" spans="1:7" x14ac:dyDescent="0.2">
      <c r="A3" s="174"/>
      <c r="B3" s="46">
        <v>2019</v>
      </c>
      <c r="C3" s="46">
        <v>2020</v>
      </c>
      <c r="D3" s="46" t="s">
        <v>246</v>
      </c>
      <c r="E3" s="46" t="s">
        <v>246</v>
      </c>
    </row>
    <row r="4" spans="1:7" x14ac:dyDescent="0.2">
      <c r="A4" s="30" t="s">
        <v>247</v>
      </c>
      <c r="B4" s="21">
        <v>3118431</v>
      </c>
      <c r="C4" s="21">
        <v>2473469</v>
      </c>
      <c r="D4" s="22">
        <v>-0.20682259764606001</v>
      </c>
      <c r="E4" s="22">
        <v>-6.3E-2</v>
      </c>
    </row>
    <row r="5" spans="1:7" x14ac:dyDescent="0.2">
      <c r="A5" s="90" t="s">
        <v>248</v>
      </c>
      <c r="B5" s="21">
        <v>2187541</v>
      </c>
      <c r="C5" s="21">
        <v>1889053</v>
      </c>
      <c r="D5" s="22">
        <v>-0.13600000000000001</v>
      </c>
      <c r="E5" s="22">
        <v>1.2E-2</v>
      </c>
    </row>
    <row r="6" spans="1:7" x14ac:dyDescent="0.2">
      <c r="A6" s="90" t="s">
        <v>249</v>
      </c>
      <c r="B6" s="21">
        <v>773065</v>
      </c>
      <c r="C6" s="21">
        <v>415605</v>
      </c>
      <c r="D6" s="22">
        <v>-0.46200000000000002</v>
      </c>
      <c r="E6" s="22">
        <v>-0.33200000000000002</v>
      </c>
    </row>
    <row r="7" spans="1:7" x14ac:dyDescent="0.2">
      <c r="A7" s="90" t="s">
        <v>250</v>
      </c>
      <c r="B7" s="21">
        <v>124127</v>
      </c>
      <c r="C7" s="21">
        <v>92680</v>
      </c>
      <c r="D7" s="22">
        <v>-0.253</v>
      </c>
      <c r="E7" s="22">
        <v>-0.36199999999999999</v>
      </c>
    </row>
    <row r="8" spans="1:7" x14ac:dyDescent="0.2">
      <c r="A8" s="90" t="s">
        <v>251</v>
      </c>
      <c r="B8" s="21">
        <v>33698</v>
      </c>
      <c r="C8" s="21">
        <f>C4-C5-C6-C7</f>
        <v>76131</v>
      </c>
      <c r="D8" s="22">
        <v>1.2589999999999999</v>
      </c>
      <c r="E8" s="22">
        <v>0.47</v>
      </c>
      <c r="G8" s="25"/>
    </row>
    <row r="9" spans="1:7" x14ac:dyDescent="0.2">
      <c r="A9" s="30" t="s">
        <v>252</v>
      </c>
      <c r="B9" s="21">
        <v>1525216</v>
      </c>
      <c r="C9" s="21">
        <v>977160</v>
      </c>
      <c r="D9" s="22">
        <v>-0.25900000000000001</v>
      </c>
      <c r="E9" s="22">
        <v>-0.115</v>
      </c>
    </row>
    <row r="10" spans="1:7" x14ac:dyDescent="0.2">
      <c r="A10" s="90" t="s">
        <v>253</v>
      </c>
      <c r="B10" s="21">
        <v>1422796</v>
      </c>
      <c r="C10" s="21">
        <v>876731</v>
      </c>
      <c r="D10" s="22">
        <v>-0.38400000000000001</v>
      </c>
      <c r="E10" s="22">
        <v>-0.115</v>
      </c>
    </row>
    <row r="11" spans="1:7" x14ac:dyDescent="0.2">
      <c r="A11" s="90" t="s">
        <v>254</v>
      </c>
      <c r="B11" s="21">
        <v>15438</v>
      </c>
      <c r="C11" s="21">
        <v>4558</v>
      </c>
      <c r="D11" s="22">
        <v>-0.70499999999999996</v>
      </c>
      <c r="E11" s="22">
        <v>-0.121</v>
      </c>
    </row>
    <row r="12" spans="1:7" x14ac:dyDescent="0.2">
      <c r="A12" s="90" t="s">
        <v>255</v>
      </c>
      <c r="B12" s="21">
        <v>84008</v>
      </c>
      <c r="C12" s="21">
        <v>94085</v>
      </c>
      <c r="D12" s="22">
        <v>0.12</v>
      </c>
      <c r="E12" s="22">
        <v>-3.0000000000000001E-3</v>
      </c>
    </row>
    <row r="13" spans="1:7" x14ac:dyDescent="0.2">
      <c r="A13" s="90" t="s">
        <v>256</v>
      </c>
      <c r="B13" s="21">
        <v>2974</v>
      </c>
      <c r="C13" s="21">
        <f>C9-C10-C11-C12</f>
        <v>1786</v>
      </c>
      <c r="D13" s="22">
        <v>-0.39900000000000002</v>
      </c>
      <c r="E13" s="22">
        <v>-0.16</v>
      </c>
      <c r="G13" s="1" t="s">
        <v>76</v>
      </c>
    </row>
    <row r="14" spans="1:7" x14ac:dyDescent="0.2">
      <c r="A14" s="30" t="s">
        <v>257</v>
      </c>
      <c r="B14" s="21">
        <v>46435</v>
      </c>
      <c r="C14" s="21">
        <v>35627</v>
      </c>
      <c r="D14" s="22">
        <v>-0.23300000000000001</v>
      </c>
      <c r="E14" s="22">
        <v>-0.21199999999999999</v>
      </c>
    </row>
    <row r="15" spans="1:7" x14ac:dyDescent="0.2">
      <c r="A15" s="75" t="s">
        <v>258</v>
      </c>
      <c r="B15" s="91">
        <v>4690082</v>
      </c>
      <c r="C15" s="91">
        <f>C14+C9+C4</f>
        <v>3486256</v>
      </c>
      <c r="D15" s="61">
        <v>-0.25700000000000001</v>
      </c>
      <c r="E15" s="61">
        <v>-8.7999999999999995E-2</v>
      </c>
    </row>
    <row r="16" spans="1:7" ht="11.25" customHeight="1" x14ac:dyDescent="0.2">
      <c r="A16" s="179" t="s">
        <v>259</v>
      </c>
      <c r="B16" s="179"/>
      <c r="C16" s="179"/>
      <c r="D16" s="179"/>
      <c r="E16" s="179"/>
    </row>
    <row r="18" spans="1:1" x14ac:dyDescent="0.2">
      <c r="A18" s="92" t="s">
        <v>260</v>
      </c>
    </row>
  </sheetData>
  <mergeCells count="4">
    <mergeCell ref="A1:E1"/>
    <mergeCell ref="A2:A3"/>
    <mergeCell ref="B2:D2"/>
    <mergeCell ref="A16:E16"/>
  </mergeCells>
  <pageMargins left="0.98385826771653528" right="0.74803149606299213" top="1.7716535433070866" bottom="1.3775590551181103" header="1.3779527559055118" footer="0.98385826771653528"/>
  <pageSetup paperSize="0" fitToWidth="0" fitToHeight="0" orientation="portrait" horizontalDpi="0" verticalDpi="0" copies="0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theme="9"/>
  </sheetPr>
  <dimension ref="A1:AMJ23"/>
  <sheetViews>
    <sheetView workbookViewId="0">
      <selection sqref="A1:G1"/>
    </sheetView>
  </sheetViews>
  <sheetFormatPr baseColWidth="10" defaultRowHeight="14.25" x14ac:dyDescent="0.2"/>
  <cols>
    <col min="1" max="1" width="15.5" style="1" customWidth="1"/>
    <col min="2" max="4" width="10.125" style="1" customWidth="1"/>
    <col min="5" max="5" width="9.5" style="1" customWidth="1"/>
    <col min="6" max="1024" width="10.125" style="1" customWidth="1"/>
  </cols>
  <sheetData>
    <row r="1" spans="1:5" ht="24" customHeight="1" x14ac:dyDescent="0.2">
      <c r="A1" s="189" t="s">
        <v>261</v>
      </c>
      <c r="B1" s="189"/>
      <c r="C1" s="189"/>
      <c r="D1" s="189"/>
      <c r="E1" s="189"/>
    </row>
    <row r="2" spans="1:5" ht="22.5" x14ac:dyDescent="0.2">
      <c r="A2" s="30"/>
      <c r="B2" s="93" t="s">
        <v>262</v>
      </c>
      <c r="C2" s="93" t="s">
        <v>263</v>
      </c>
      <c r="D2" s="93" t="s">
        <v>264</v>
      </c>
      <c r="E2" s="93" t="s">
        <v>130</v>
      </c>
    </row>
    <row r="3" spans="1:5" x14ac:dyDescent="0.2">
      <c r="A3" s="30" t="s">
        <v>113</v>
      </c>
      <c r="B3" s="94">
        <v>0.45655072840201699</v>
      </c>
      <c r="C3" s="94">
        <v>0.47141124607305901</v>
      </c>
      <c r="D3" s="94">
        <v>7.2038025524923693E-2</v>
      </c>
      <c r="E3" s="94">
        <f t="shared" ref="E3:E22" si="0">B3+C3+D3</f>
        <v>0.99999999999999967</v>
      </c>
    </row>
    <row r="4" spans="1:5" x14ac:dyDescent="0.2">
      <c r="A4" s="30" t="s">
        <v>114</v>
      </c>
      <c r="B4" s="94">
        <v>0.49916325162964098</v>
      </c>
      <c r="C4" s="94">
        <v>0.44894484750195202</v>
      </c>
      <c r="D4" s="94">
        <v>5.1891900868407399E-2</v>
      </c>
      <c r="E4" s="94">
        <f t="shared" si="0"/>
        <v>1.0000000000000004</v>
      </c>
    </row>
    <row r="5" spans="1:5" x14ac:dyDescent="0.2">
      <c r="A5" s="30" t="s">
        <v>115</v>
      </c>
      <c r="B5" s="94">
        <v>0.51594044325810895</v>
      </c>
      <c r="C5" s="94">
        <v>0.43429141900471002</v>
      </c>
      <c r="D5" s="94">
        <v>4.9768137737181702E-2</v>
      </c>
      <c r="E5" s="94">
        <f t="shared" si="0"/>
        <v>1.0000000000000007</v>
      </c>
    </row>
    <row r="6" spans="1:5" x14ac:dyDescent="0.2">
      <c r="A6" s="75" t="s">
        <v>244</v>
      </c>
      <c r="B6" s="95">
        <v>0.45285144151718199</v>
      </c>
      <c r="C6" s="95">
        <v>0.492562818154552</v>
      </c>
      <c r="D6" s="95">
        <v>5.4585740328266297E-2</v>
      </c>
      <c r="E6" s="95">
        <f t="shared" si="0"/>
        <v>1.0000000000000002</v>
      </c>
    </row>
    <row r="7" spans="1:5" x14ac:dyDescent="0.2">
      <c r="A7" s="30" t="s">
        <v>265</v>
      </c>
      <c r="B7" s="94">
        <v>0.53684235037207195</v>
      </c>
      <c r="C7" s="94">
        <v>0.38473997574392299</v>
      </c>
      <c r="D7" s="94">
        <v>7.8417673884005404E-2</v>
      </c>
      <c r="E7" s="94">
        <f t="shared" si="0"/>
        <v>1.0000000000000004</v>
      </c>
    </row>
    <row r="8" spans="1:5" x14ac:dyDescent="0.2">
      <c r="A8" s="30" t="s">
        <v>118</v>
      </c>
      <c r="B8" s="94">
        <v>0.46608626748529602</v>
      </c>
      <c r="C8" s="94">
        <v>0.43862133388554098</v>
      </c>
      <c r="D8" s="94">
        <v>9.5292398629162695E-2</v>
      </c>
      <c r="E8" s="94">
        <f t="shared" si="0"/>
        <v>0.99999999999999978</v>
      </c>
    </row>
    <row r="9" spans="1:5" x14ac:dyDescent="0.2">
      <c r="A9" s="30" t="s">
        <v>120</v>
      </c>
      <c r="B9" s="94">
        <v>0.47847633781134702</v>
      </c>
      <c r="C9" s="94">
        <v>0.46179147781220398</v>
      </c>
      <c r="D9" s="94">
        <v>5.9732184376449698E-2</v>
      </c>
      <c r="E9" s="94">
        <f t="shared" si="0"/>
        <v>1.0000000000000007</v>
      </c>
    </row>
    <row r="10" spans="1:5" x14ac:dyDescent="0.2">
      <c r="A10" s="30" t="s">
        <v>119</v>
      </c>
      <c r="B10" s="94">
        <v>0.43819103674184601</v>
      </c>
      <c r="C10" s="94">
        <v>0.48704159693395099</v>
      </c>
      <c r="D10" s="94">
        <v>7.4767366324203097E-2</v>
      </c>
      <c r="E10" s="94">
        <f t="shared" si="0"/>
        <v>1</v>
      </c>
    </row>
    <row r="11" spans="1:5" x14ac:dyDescent="0.2">
      <c r="A11" s="30" t="s">
        <v>121</v>
      </c>
      <c r="B11" s="94">
        <v>0.555047906580588</v>
      </c>
      <c r="C11" s="94">
        <v>0.39109979405431</v>
      </c>
      <c r="D11" s="94">
        <v>5.3852299365101899E-2</v>
      </c>
      <c r="E11" s="94">
        <f t="shared" si="0"/>
        <v>0.99999999999999989</v>
      </c>
    </row>
    <row r="12" spans="1:5" x14ac:dyDescent="0.2">
      <c r="A12" s="30" t="s">
        <v>129</v>
      </c>
      <c r="B12" s="94">
        <v>0.46941506842839298</v>
      </c>
      <c r="C12" s="94">
        <v>0.42945612483679602</v>
      </c>
      <c r="D12" s="94">
        <v>0.10112880673481101</v>
      </c>
      <c r="E12" s="94">
        <f t="shared" si="0"/>
        <v>1</v>
      </c>
    </row>
    <row r="13" spans="1:5" x14ac:dyDescent="0.2">
      <c r="A13" s="30" t="s">
        <v>122</v>
      </c>
      <c r="B13" s="94">
        <v>0.43692817294019498</v>
      </c>
      <c r="C13" s="94">
        <v>0.49378583318740898</v>
      </c>
      <c r="D13" s="94">
        <v>6.9285993872397006E-2</v>
      </c>
      <c r="E13" s="94">
        <f t="shared" si="0"/>
        <v>1.0000000000000011</v>
      </c>
    </row>
    <row r="14" spans="1:5" x14ac:dyDescent="0.2">
      <c r="A14" s="30" t="s">
        <v>123</v>
      </c>
      <c r="B14" s="94">
        <v>0.48757337050613597</v>
      </c>
      <c r="C14" s="94">
        <v>0.45982340944024702</v>
      </c>
      <c r="D14" s="94">
        <v>5.2603220053616902E-2</v>
      </c>
      <c r="E14" s="94">
        <f t="shared" si="0"/>
        <v>0.99999999999999989</v>
      </c>
    </row>
    <row r="15" spans="1:5" x14ac:dyDescent="0.2">
      <c r="A15" s="30" t="s">
        <v>125</v>
      </c>
      <c r="B15" s="94">
        <v>0.62231165294311397</v>
      </c>
      <c r="C15" s="94">
        <v>0.34087632864263501</v>
      </c>
      <c r="D15" s="94">
        <v>3.6812018414250698E-2</v>
      </c>
      <c r="E15" s="94">
        <f t="shared" si="0"/>
        <v>0.99999999999999967</v>
      </c>
    </row>
    <row r="16" spans="1:5" x14ac:dyDescent="0.2">
      <c r="A16" s="30" t="s">
        <v>126</v>
      </c>
      <c r="B16" s="94">
        <v>0.45937760138363998</v>
      </c>
      <c r="C16" s="94">
        <v>0.483136719622133</v>
      </c>
      <c r="D16" s="94">
        <v>5.7485678994227102E-2</v>
      </c>
      <c r="E16" s="94">
        <f t="shared" si="0"/>
        <v>1</v>
      </c>
    </row>
    <row r="17" spans="1:5" x14ac:dyDescent="0.2">
      <c r="A17" s="30" t="s">
        <v>127</v>
      </c>
      <c r="B17" s="94">
        <v>0.640714185279182</v>
      </c>
      <c r="C17" s="94">
        <v>0.30299502889980401</v>
      </c>
      <c r="D17" s="94">
        <v>5.6290785821014599E-2</v>
      </c>
      <c r="E17" s="94">
        <f t="shared" si="0"/>
        <v>1.0000000000000007</v>
      </c>
    </row>
    <row r="18" spans="1:5" x14ac:dyDescent="0.2">
      <c r="A18" s="30" t="s">
        <v>128</v>
      </c>
      <c r="B18" s="94">
        <v>0.48243929485783998</v>
      </c>
      <c r="C18" s="94">
        <v>0.471575243276673</v>
      </c>
      <c r="D18" s="94">
        <v>4.5985461865486299E-2</v>
      </c>
      <c r="E18" s="94">
        <f t="shared" si="0"/>
        <v>0.99999999999999933</v>
      </c>
    </row>
    <row r="19" spans="1:5" x14ac:dyDescent="0.2">
      <c r="A19" s="30" t="s">
        <v>124</v>
      </c>
      <c r="B19" s="94">
        <v>0.51160626493335604</v>
      </c>
      <c r="C19" s="94">
        <v>0.42722362895407701</v>
      </c>
      <c r="D19" s="94">
        <v>6.1170106112566999E-2</v>
      </c>
      <c r="E19" s="94">
        <f t="shared" si="0"/>
        <v>1</v>
      </c>
    </row>
    <row r="20" spans="1:5" x14ac:dyDescent="0.2">
      <c r="A20" s="30" t="s">
        <v>266</v>
      </c>
      <c r="B20" s="94">
        <v>0.22225095646416199</v>
      </c>
      <c r="C20" s="94">
        <v>0.70583698010723495</v>
      </c>
      <c r="D20" s="94">
        <v>7.1912063428602693E-2</v>
      </c>
      <c r="E20" s="94">
        <f t="shared" si="0"/>
        <v>0.99999999999999967</v>
      </c>
    </row>
    <row r="21" spans="1:5" x14ac:dyDescent="0.2">
      <c r="A21" s="30" t="s">
        <v>267</v>
      </c>
      <c r="B21" s="94">
        <v>0.25672419646670802</v>
      </c>
      <c r="C21" s="94">
        <v>0.59458216378657303</v>
      </c>
      <c r="D21" s="94">
        <v>0.14869363974671901</v>
      </c>
      <c r="E21" s="94">
        <f t="shared" si="0"/>
        <v>1</v>
      </c>
    </row>
    <row r="22" spans="1:5" x14ac:dyDescent="0.2">
      <c r="A22" s="75" t="s">
        <v>268</v>
      </c>
      <c r="B22" s="95">
        <v>0.51943433183738197</v>
      </c>
      <c r="C22" s="95">
        <v>0.42074073739809198</v>
      </c>
      <c r="D22" s="95">
        <v>5.9824930764525802E-2</v>
      </c>
      <c r="E22" s="95">
        <f t="shared" si="0"/>
        <v>0.99999999999999978</v>
      </c>
    </row>
    <row r="23" spans="1:5" x14ac:dyDescent="0.2">
      <c r="A23" s="179" t="s">
        <v>269</v>
      </c>
      <c r="B23" s="179"/>
      <c r="C23" s="179"/>
      <c r="D23" s="179"/>
      <c r="E23" s="179"/>
    </row>
  </sheetData>
  <mergeCells count="2">
    <mergeCell ref="A1:E1"/>
    <mergeCell ref="A23:E23"/>
  </mergeCells>
  <pageMargins left="0.74999999999999989" right="0.74999999999999989" top="1.393700787401575" bottom="1.393700787401575" header="1" footer="1"/>
  <pageSetup paperSize="0" fitToWidth="0" fitToHeight="0" orientation="portrait" horizontalDpi="0" verticalDpi="0" copies="0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tabColor theme="9"/>
  </sheetPr>
  <dimension ref="A1:AMJ24"/>
  <sheetViews>
    <sheetView workbookViewId="0">
      <selection sqref="A1:F1"/>
    </sheetView>
  </sheetViews>
  <sheetFormatPr baseColWidth="10" defaultRowHeight="14.25" x14ac:dyDescent="0.2"/>
  <cols>
    <col min="1" max="1" width="16" style="1" customWidth="1"/>
    <col min="2" max="1024" width="10.125" style="1" customWidth="1"/>
  </cols>
  <sheetData>
    <row r="1" spans="1:7" x14ac:dyDescent="0.2">
      <c r="A1" s="48" t="s">
        <v>270</v>
      </c>
    </row>
    <row r="2" spans="1:7" x14ac:dyDescent="0.2">
      <c r="A2" s="48"/>
      <c r="B2" s="1" t="s">
        <v>271</v>
      </c>
    </row>
    <row r="3" spans="1:7" x14ac:dyDescent="0.2">
      <c r="A3" s="1" t="s">
        <v>272</v>
      </c>
      <c r="B3" s="69">
        <v>0.10852465456261599</v>
      </c>
    </row>
    <row r="4" spans="1:7" x14ac:dyDescent="0.2">
      <c r="A4" s="1" t="s">
        <v>273</v>
      </c>
      <c r="B4" s="69">
        <v>0.49358095872284302</v>
      </c>
      <c r="C4" s="48"/>
      <c r="D4" s="48"/>
      <c r="E4" s="48"/>
      <c r="F4" s="48"/>
      <c r="G4" s="48"/>
    </row>
    <row r="5" spans="1:7" x14ac:dyDescent="0.2">
      <c r="A5" s="1" t="s">
        <v>274</v>
      </c>
      <c r="B5" s="69">
        <v>0.39789438671454103</v>
      </c>
    </row>
    <row r="6" spans="1:7" x14ac:dyDescent="0.2">
      <c r="A6" s="96" t="s">
        <v>269</v>
      </c>
    </row>
    <row r="23" spans="1:7" x14ac:dyDescent="0.2">
      <c r="A23" s="194" t="s">
        <v>269</v>
      </c>
      <c r="B23" s="194"/>
      <c r="C23" s="194"/>
      <c r="D23" s="194"/>
      <c r="E23" s="194"/>
      <c r="F23" s="194"/>
      <c r="G23" s="194"/>
    </row>
    <row r="24" spans="1:7" x14ac:dyDescent="0.2">
      <c r="E24" s="69"/>
    </row>
  </sheetData>
  <mergeCells count="1">
    <mergeCell ref="A23:G23"/>
  </mergeCells>
  <pageMargins left="0.74999999999999989" right="0.74999999999999989" top="1.393700787401575" bottom="1.393700787401575" header="1" footer="1"/>
  <pageSetup paperSize="0" fitToWidth="0" fitToHeight="0" orientation="portrait" horizontalDpi="0" verticalDpi="0" copies="0"/>
  <headerFooter alignWithMargins="0"/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theme="9"/>
  </sheetPr>
  <dimension ref="A1:AMJ23"/>
  <sheetViews>
    <sheetView workbookViewId="0">
      <selection sqref="A1:F1"/>
    </sheetView>
  </sheetViews>
  <sheetFormatPr baseColWidth="10" defaultRowHeight="14.25" x14ac:dyDescent="0.2"/>
  <cols>
    <col min="1" max="1" width="14.25" style="97" customWidth="1"/>
    <col min="2" max="4" width="12.25" style="97" customWidth="1"/>
    <col min="5" max="5" width="9" style="97" customWidth="1"/>
    <col min="6" max="1024" width="10.125" style="97" customWidth="1"/>
  </cols>
  <sheetData>
    <row r="1" spans="1:8" x14ac:dyDescent="0.2">
      <c r="A1" s="166" t="s">
        <v>275</v>
      </c>
      <c r="B1" s="166"/>
      <c r="C1" s="166"/>
      <c r="D1" s="166"/>
      <c r="E1" s="166"/>
    </row>
    <row r="2" spans="1:8" x14ac:dyDescent="0.2">
      <c r="A2" s="98"/>
      <c r="B2" s="4" t="s">
        <v>276</v>
      </c>
      <c r="C2" s="4" t="s">
        <v>277</v>
      </c>
      <c r="D2" s="4" t="s">
        <v>278</v>
      </c>
      <c r="E2" s="4" t="s">
        <v>130</v>
      </c>
    </row>
    <row r="3" spans="1:8" x14ac:dyDescent="0.2">
      <c r="A3" s="43" t="s">
        <v>113</v>
      </c>
      <c r="B3" s="33">
        <v>0.14031395548498299</v>
      </c>
      <c r="C3" s="33">
        <v>0.46223641043619301</v>
      </c>
      <c r="D3" s="33">
        <v>0.397449634078824</v>
      </c>
      <c r="E3" s="33">
        <v>1</v>
      </c>
    </row>
    <row r="4" spans="1:8" x14ac:dyDescent="0.2">
      <c r="A4" s="43" t="s">
        <v>114</v>
      </c>
      <c r="B4" s="33">
        <v>0.115340621665389</v>
      </c>
      <c r="C4" s="33">
        <v>0.47552197552807701</v>
      </c>
      <c r="D4" s="33">
        <v>0.40913740280653399</v>
      </c>
      <c r="E4" s="33">
        <v>1</v>
      </c>
    </row>
    <row r="5" spans="1:8" x14ac:dyDescent="0.2">
      <c r="A5" s="43" t="s">
        <v>115</v>
      </c>
      <c r="B5" s="33">
        <v>9.6576834211239998E-2</v>
      </c>
      <c r="C5" s="33">
        <v>0.47897747668747198</v>
      </c>
      <c r="D5" s="33">
        <v>0.42444568910128799</v>
      </c>
      <c r="E5" s="33">
        <v>1</v>
      </c>
    </row>
    <row r="6" spans="1:8" x14ac:dyDescent="0.2">
      <c r="A6" s="75" t="s">
        <v>244</v>
      </c>
      <c r="B6" s="95">
        <v>0.10852465456261599</v>
      </c>
      <c r="C6" s="95">
        <v>0.49358095872284302</v>
      </c>
      <c r="D6" s="95">
        <v>0.39789438671454103</v>
      </c>
      <c r="E6" s="95">
        <v>1</v>
      </c>
    </row>
    <row r="7" spans="1:8" x14ac:dyDescent="0.2">
      <c r="A7" s="43" t="s">
        <v>265</v>
      </c>
      <c r="B7" s="33">
        <v>0.294580947969171</v>
      </c>
      <c r="C7" s="33">
        <v>0.41600455993244001</v>
      </c>
      <c r="D7" s="33">
        <v>0.28941449209838799</v>
      </c>
      <c r="E7" s="33">
        <v>1</v>
      </c>
      <c r="H7" s="99">
        <v>0.10852465456261599</v>
      </c>
    </row>
    <row r="8" spans="1:8" x14ac:dyDescent="0.2">
      <c r="A8" s="43" t="s">
        <v>118</v>
      </c>
      <c r="B8" s="33">
        <v>0.103266155698607</v>
      </c>
      <c r="C8" s="33">
        <v>0.465534888555731</v>
      </c>
      <c r="D8" s="33">
        <v>0.43119895574566203</v>
      </c>
      <c r="E8" s="33">
        <v>1</v>
      </c>
      <c r="H8" s="99">
        <v>0.49358095872284302</v>
      </c>
    </row>
    <row r="9" spans="1:8" x14ac:dyDescent="0.2">
      <c r="A9" s="43" t="s">
        <v>120</v>
      </c>
      <c r="B9" s="33">
        <v>0.11965787451803001</v>
      </c>
      <c r="C9" s="33">
        <v>0.458240210769012</v>
      </c>
      <c r="D9" s="33">
        <v>0.42210191471295699</v>
      </c>
      <c r="E9" s="33">
        <v>1</v>
      </c>
      <c r="H9" s="99">
        <v>0.39789438671454103</v>
      </c>
    </row>
    <row r="10" spans="1:8" x14ac:dyDescent="0.2">
      <c r="A10" s="43" t="s">
        <v>119</v>
      </c>
      <c r="B10" s="33">
        <v>0.133380858076285</v>
      </c>
      <c r="C10" s="33">
        <v>0.470379799320778</v>
      </c>
      <c r="D10" s="33">
        <v>0.39623934260293697</v>
      </c>
      <c r="E10" s="33">
        <v>1</v>
      </c>
    </row>
    <row r="11" spans="1:8" x14ac:dyDescent="0.2">
      <c r="A11" s="43" t="s">
        <v>121</v>
      </c>
      <c r="B11" s="33">
        <v>0.125278494734685</v>
      </c>
      <c r="C11" s="33">
        <v>0.460389434275145</v>
      </c>
      <c r="D11" s="33">
        <v>0.414332070990169</v>
      </c>
      <c r="E11" s="33">
        <v>1</v>
      </c>
    </row>
    <row r="12" spans="1:8" x14ac:dyDescent="0.2">
      <c r="A12" s="43" t="s">
        <v>129</v>
      </c>
      <c r="B12" s="33">
        <v>0.116452889479599</v>
      </c>
      <c r="C12" s="33">
        <v>0.49861968043066801</v>
      </c>
      <c r="D12" s="33">
        <v>0.38492743008973301</v>
      </c>
      <c r="E12" s="33">
        <v>1</v>
      </c>
    </row>
    <row r="13" spans="1:8" x14ac:dyDescent="0.2">
      <c r="A13" s="43" t="s">
        <v>122</v>
      </c>
      <c r="B13" s="33">
        <v>0.12833824414636</v>
      </c>
      <c r="C13" s="33">
        <v>0.48762091833458399</v>
      </c>
      <c r="D13" s="33">
        <v>0.38404083751905599</v>
      </c>
      <c r="E13" s="33">
        <v>1</v>
      </c>
    </row>
    <row r="14" spans="1:8" x14ac:dyDescent="0.2">
      <c r="A14" s="43" t="s">
        <v>123</v>
      </c>
      <c r="B14" s="33">
        <v>0.105786868592243</v>
      </c>
      <c r="C14" s="33">
        <v>0.46306142117726601</v>
      </c>
      <c r="D14" s="33">
        <v>0.43115171023049098</v>
      </c>
      <c r="E14" s="33">
        <v>1</v>
      </c>
    </row>
    <row r="15" spans="1:8" x14ac:dyDescent="0.2">
      <c r="A15" s="43" t="s">
        <v>125</v>
      </c>
      <c r="B15" s="33">
        <v>9.9542028151895001E-2</v>
      </c>
      <c r="C15" s="33">
        <v>0.42089117709444901</v>
      </c>
      <c r="D15" s="33">
        <v>0.47956679475365599</v>
      </c>
      <c r="E15" s="33">
        <v>1</v>
      </c>
    </row>
    <row r="16" spans="1:8" x14ac:dyDescent="0.2">
      <c r="A16" s="43" t="s">
        <v>126</v>
      </c>
      <c r="B16" s="33">
        <v>0.12802822827691501</v>
      </c>
      <c r="C16" s="33">
        <v>0.47551107711600998</v>
      </c>
      <c r="D16" s="33">
        <v>0.396460694607076</v>
      </c>
      <c r="E16" s="33">
        <v>1</v>
      </c>
    </row>
    <row r="17" spans="1:5" x14ac:dyDescent="0.2">
      <c r="A17" s="43" t="s">
        <v>127</v>
      </c>
      <c r="B17" s="33">
        <v>6.8413876116454206E-2</v>
      </c>
      <c r="C17" s="33">
        <v>1.1534802879988499</v>
      </c>
      <c r="D17" s="33">
        <v>-0.221894164115299</v>
      </c>
      <c r="E17" s="33">
        <v>1</v>
      </c>
    </row>
    <row r="18" spans="1:5" x14ac:dyDescent="0.2">
      <c r="A18" s="43" t="s">
        <v>128</v>
      </c>
      <c r="B18" s="33">
        <v>0.912176914371718</v>
      </c>
      <c r="C18" s="33">
        <v>5.5627946863533997E-3</v>
      </c>
      <c r="D18" s="33">
        <v>8.2260290941927994E-2</v>
      </c>
      <c r="E18" s="33">
        <v>1</v>
      </c>
    </row>
    <row r="19" spans="1:5" x14ac:dyDescent="0.2">
      <c r="A19" s="43" t="s">
        <v>124</v>
      </c>
      <c r="B19" s="33">
        <v>0.117255671875206</v>
      </c>
      <c r="C19" s="33">
        <v>0.460756727855405</v>
      </c>
      <c r="D19" s="33">
        <v>0.42198760026938897</v>
      </c>
      <c r="E19" s="33">
        <v>1</v>
      </c>
    </row>
    <row r="20" spans="1:5" x14ac:dyDescent="0.2">
      <c r="A20" s="43" t="s">
        <v>266</v>
      </c>
      <c r="B20" s="33">
        <v>0.80380830991004704</v>
      </c>
      <c r="C20" s="33">
        <v>0</v>
      </c>
      <c r="D20" s="33">
        <v>0.19619169008995299</v>
      </c>
      <c r="E20" s="33">
        <v>1</v>
      </c>
    </row>
    <row r="21" spans="1:5" x14ac:dyDescent="0.2">
      <c r="A21" s="43" t="s">
        <v>267</v>
      </c>
      <c r="B21" s="33">
        <v>0.79819146767792903</v>
      </c>
      <c r="C21" s="33">
        <v>0</v>
      </c>
      <c r="D21" s="33">
        <v>0.20180853232207099</v>
      </c>
      <c r="E21" s="33">
        <v>1</v>
      </c>
    </row>
    <row r="22" spans="1:5" x14ac:dyDescent="0.2">
      <c r="A22" s="100" t="s">
        <v>279</v>
      </c>
      <c r="B22" s="95">
        <v>0.17440867197381801</v>
      </c>
      <c r="C22" s="95">
        <v>0.437603317803128</v>
      </c>
      <c r="D22" s="95">
        <v>0.38798801022305401</v>
      </c>
      <c r="E22" s="95">
        <v>1</v>
      </c>
    </row>
    <row r="23" spans="1:5" x14ac:dyDescent="0.2">
      <c r="A23" s="195" t="s">
        <v>269</v>
      </c>
      <c r="B23" s="195"/>
      <c r="C23" s="195"/>
      <c r="D23" s="195"/>
      <c r="E23" s="195"/>
    </row>
  </sheetData>
  <mergeCells count="2">
    <mergeCell ref="A1:E1"/>
    <mergeCell ref="A23:E23"/>
  </mergeCells>
  <pageMargins left="0.70000000000000007" right="0.70000000000000007" top="1.1437007874015745" bottom="1.1437007874015745" header="0.74999999999999989" footer="0.74999999999999989"/>
  <pageSetup paperSize="0" fitToWidth="0" fitToHeight="0" orientation="portrait" horizontalDpi="0" verticalDpi="0" copies="0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tabColor theme="9"/>
  </sheetPr>
  <dimension ref="A1:AMJ27"/>
  <sheetViews>
    <sheetView workbookViewId="0">
      <selection sqref="A1:G1"/>
    </sheetView>
  </sheetViews>
  <sheetFormatPr baseColWidth="10" defaultRowHeight="14.25" x14ac:dyDescent="0.2"/>
  <cols>
    <col min="1" max="1" width="17.625" style="1" customWidth="1"/>
    <col min="2" max="2" width="9.125" style="1" customWidth="1"/>
    <col min="3" max="3" width="10" style="1" customWidth="1"/>
    <col min="4" max="4" width="12" style="1" customWidth="1"/>
    <col min="5" max="5" width="10" style="1" customWidth="1"/>
    <col min="6" max="6" width="9.5" style="1" customWidth="1"/>
    <col min="7" max="7" width="9.625" style="1" customWidth="1"/>
    <col min="8" max="1024" width="10.125" style="1" customWidth="1"/>
  </cols>
  <sheetData>
    <row r="1" spans="1:7" x14ac:dyDescent="0.2">
      <c r="A1" s="166" t="s">
        <v>280</v>
      </c>
      <c r="B1" s="166"/>
      <c r="C1" s="166"/>
      <c r="D1" s="166"/>
      <c r="E1" s="166"/>
      <c r="F1" s="166"/>
      <c r="G1" s="166"/>
    </row>
    <row r="2" spans="1:7" ht="9.9499999999999993" customHeight="1" x14ac:dyDescent="0.2">
      <c r="A2" s="174"/>
      <c r="B2" s="196" t="s">
        <v>281</v>
      </c>
      <c r="C2" s="188" t="s">
        <v>282</v>
      </c>
      <c r="D2" s="188"/>
      <c r="E2" s="188"/>
      <c r="F2" s="188"/>
      <c r="G2" s="196" t="s">
        <v>283</v>
      </c>
    </row>
    <row r="3" spans="1:7" x14ac:dyDescent="0.2">
      <c r="A3" s="174"/>
      <c r="B3" s="196"/>
      <c r="C3" s="46" t="s">
        <v>276</v>
      </c>
      <c r="D3" s="46" t="s">
        <v>277</v>
      </c>
      <c r="E3" s="46" t="s">
        <v>278</v>
      </c>
      <c r="F3" s="46" t="s">
        <v>130</v>
      </c>
      <c r="G3" s="196"/>
    </row>
    <row r="4" spans="1:7" x14ac:dyDescent="0.2">
      <c r="A4" s="101" t="s">
        <v>244</v>
      </c>
      <c r="B4" s="60">
        <v>25645.616999999998</v>
      </c>
      <c r="C4" s="102">
        <v>921.33000005121403</v>
      </c>
      <c r="D4" s="102">
        <v>3889.7058673561301</v>
      </c>
      <c r="E4" s="102">
        <v>3135.6398646258999</v>
      </c>
      <c r="F4" s="102">
        <v>7946.6757320332499</v>
      </c>
      <c r="G4" s="103">
        <v>0.30986486821639903</v>
      </c>
    </row>
    <row r="5" spans="1:7" x14ac:dyDescent="0.2">
      <c r="A5" s="104" t="s">
        <v>118</v>
      </c>
      <c r="B5" s="51">
        <v>22164.147000000001</v>
      </c>
      <c r="C5" s="105">
        <v>647.87518202794604</v>
      </c>
      <c r="D5" s="105">
        <v>2920.69070086892</v>
      </c>
      <c r="E5" s="105">
        <v>2705.2726041175702</v>
      </c>
      <c r="F5" s="105">
        <v>6273.83848701444</v>
      </c>
      <c r="G5" s="106">
        <v>0.28306248316321098</v>
      </c>
    </row>
    <row r="6" spans="1:7" x14ac:dyDescent="0.2">
      <c r="A6" s="104" t="s">
        <v>115</v>
      </c>
      <c r="B6" s="51">
        <v>21178.791000000001</v>
      </c>
      <c r="C6" s="105">
        <v>576.54540649440901</v>
      </c>
      <c r="D6" s="105">
        <v>2859.4048071033699</v>
      </c>
      <c r="E6" s="105">
        <v>2533.8603647169498</v>
      </c>
      <c r="F6" s="105">
        <v>5969.8105783147303</v>
      </c>
      <c r="G6" s="106">
        <v>0.28187683509954498</v>
      </c>
    </row>
    <row r="7" spans="1:7" x14ac:dyDescent="0.2">
      <c r="A7" s="104" t="s">
        <v>284</v>
      </c>
      <c r="B7" s="51">
        <v>21094.254000000001</v>
      </c>
      <c r="C7" s="105">
        <v>676.51894192277996</v>
      </c>
      <c r="D7" s="105">
        <v>2896.6705775551</v>
      </c>
      <c r="E7" s="105">
        <v>2236.1892339904598</v>
      </c>
      <c r="F7" s="105">
        <v>5809.3787534683397</v>
      </c>
      <c r="G7" s="106">
        <v>0.27540100510159499</v>
      </c>
    </row>
    <row r="8" spans="1:7" x14ac:dyDescent="0.2">
      <c r="A8" s="104" t="s">
        <v>128</v>
      </c>
      <c r="B8" s="72">
        <v>31035.078000000001</v>
      </c>
      <c r="C8" s="107">
        <v>7679.8603325911599</v>
      </c>
      <c r="D8" s="107">
        <v>46.834649701148898</v>
      </c>
      <c r="E8" s="107">
        <v>692.57129335206901</v>
      </c>
      <c r="F8" s="107">
        <v>8419.2662756443806</v>
      </c>
      <c r="G8" s="106">
        <v>0.271282265688018</v>
      </c>
    </row>
    <row r="9" spans="1:7" x14ac:dyDescent="0.2">
      <c r="A9" s="104" t="s">
        <v>121</v>
      </c>
      <c r="B9" s="51">
        <v>28287.170999999998</v>
      </c>
      <c r="C9" s="105">
        <v>930.91452330634195</v>
      </c>
      <c r="D9" s="105">
        <v>3421.0437445882199</v>
      </c>
      <c r="E9" s="105">
        <v>3078.8024965752902</v>
      </c>
      <c r="F9" s="105">
        <v>7430.7607644698501</v>
      </c>
      <c r="G9" s="106">
        <v>0.26269013484840298</v>
      </c>
    </row>
    <row r="10" spans="1:7" x14ac:dyDescent="0.2">
      <c r="A10" s="104" t="s">
        <v>113</v>
      </c>
      <c r="B10" s="51">
        <v>17846.397000000001</v>
      </c>
      <c r="C10" s="107">
        <v>656.45851188582401</v>
      </c>
      <c r="D10" s="107">
        <v>2162.5719628926299</v>
      </c>
      <c r="E10" s="107">
        <v>1859.4671815439999</v>
      </c>
      <c r="F10" s="107">
        <v>4678.49765632246</v>
      </c>
      <c r="G10" s="106">
        <v>0.26215362441631501</v>
      </c>
    </row>
    <row r="11" spans="1:7" x14ac:dyDescent="0.2">
      <c r="A11" s="108" t="s">
        <v>285</v>
      </c>
      <c r="B11" s="109">
        <v>24021.234</v>
      </c>
      <c r="C11" s="110">
        <v>1075.4088576311501</v>
      </c>
      <c r="D11" s="110">
        <v>2694.1802754472301</v>
      </c>
      <c r="E11" s="110">
        <v>2388.7150799054102</v>
      </c>
      <c r="F11" s="110">
        <v>6158.3042129837904</v>
      </c>
      <c r="G11" s="111">
        <v>0.25636918623680099</v>
      </c>
    </row>
    <row r="12" spans="1:7" x14ac:dyDescent="0.2">
      <c r="A12" s="104" t="s">
        <v>125</v>
      </c>
      <c r="B12" s="51">
        <v>32644.917000000001</v>
      </c>
      <c r="C12" s="105">
        <v>817.29153562271199</v>
      </c>
      <c r="D12" s="105">
        <v>3455.73425460716</v>
      </c>
      <c r="E12" s="105">
        <v>3937.4914234195799</v>
      </c>
      <c r="F12" s="105">
        <v>8210.5172136494493</v>
      </c>
      <c r="G12" s="106">
        <v>0.25150982046146603</v>
      </c>
    </row>
    <row r="13" spans="1:7" x14ac:dyDescent="0.2">
      <c r="A13" s="104" t="s">
        <v>119</v>
      </c>
      <c r="B13" s="72">
        <v>19092.635999999999</v>
      </c>
      <c r="C13" s="107">
        <v>638.29859054840495</v>
      </c>
      <c r="D13" s="107">
        <v>2251.0183789429102</v>
      </c>
      <c r="E13" s="107">
        <v>1896.21672518127</v>
      </c>
      <c r="F13" s="107">
        <v>4785.5336946725902</v>
      </c>
      <c r="G13" s="106">
        <v>0.25064813966351102</v>
      </c>
    </row>
    <row r="14" spans="1:7" x14ac:dyDescent="0.2">
      <c r="A14" s="104" t="s">
        <v>120</v>
      </c>
      <c r="B14" s="72">
        <v>22621.374</v>
      </c>
      <c r="C14" s="107">
        <v>675.46722395923405</v>
      </c>
      <c r="D14" s="107">
        <v>2586.7603308296998</v>
      </c>
      <c r="E14" s="107">
        <v>2382.76009587715</v>
      </c>
      <c r="F14" s="107">
        <v>5644.9876506660903</v>
      </c>
      <c r="G14" s="106">
        <v>0.24954220953449099</v>
      </c>
    </row>
    <row r="15" spans="1:7" x14ac:dyDescent="0.2">
      <c r="A15" s="104" t="s">
        <v>114</v>
      </c>
      <c r="B15" s="51">
        <v>26112.843000000001</v>
      </c>
      <c r="C15" s="105">
        <v>738.71669110893595</v>
      </c>
      <c r="D15" s="105">
        <v>3045.5533812775898</v>
      </c>
      <c r="E15" s="105">
        <v>2620.3832097156101</v>
      </c>
      <c r="F15" s="105">
        <v>6404.6532821021401</v>
      </c>
      <c r="G15" s="106">
        <v>0.245268325708623</v>
      </c>
    </row>
    <row r="16" spans="1:7" x14ac:dyDescent="0.2">
      <c r="A16" s="104" t="s">
        <v>122</v>
      </c>
      <c r="B16" s="51">
        <v>17683.686000000002</v>
      </c>
      <c r="C16" s="107">
        <v>555.70872317048998</v>
      </c>
      <c r="D16" s="107">
        <v>2111.4142531816601</v>
      </c>
      <c r="E16" s="107">
        <v>1662.90917319748</v>
      </c>
      <c r="F16" s="107">
        <v>4330.0321495496401</v>
      </c>
      <c r="G16" s="106">
        <v>0.24486027118722001</v>
      </c>
    </row>
    <row r="17" spans="1:7" x14ac:dyDescent="0.2">
      <c r="A17" s="104" t="s">
        <v>126</v>
      </c>
      <c r="B17" s="51">
        <v>19672.578000000001</v>
      </c>
      <c r="C17" s="107">
        <v>605.13554459848206</v>
      </c>
      <c r="D17" s="107">
        <v>2247.5407063419598</v>
      </c>
      <c r="E17" s="107">
        <v>1873.90282261841</v>
      </c>
      <c r="F17" s="107">
        <v>4726.5790735588598</v>
      </c>
      <c r="G17" s="106">
        <v>0.24026231201415801</v>
      </c>
    </row>
    <row r="18" spans="1:7" x14ac:dyDescent="0.2">
      <c r="A18" s="104" t="s">
        <v>123</v>
      </c>
      <c r="B18" s="72">
        <v>21700.557000000001</v>
      </c>
      <c r="C18" s="107">
        <v>546.93752541528499</v>
      </c>
      <c r="D18" s="107">
        <v>2394.1125319645798</v>
      </c>
      <c r="E18" s="107">
        <v>2229.1334700621201</v>
      </c>
      <c r="F18" s="107">
        <v>5170.18352744199</v>
      </c>
      <c r="G18" s="106">
        <v>0.238251189932221</v>
      </c>
    </row>
    <row r="19" spans="1:7" x14ac:dyDescent="0.2">
      <c r="A19" s="104" t="s">
        <v>124</v>
      </c>
      <c r="B19" s="51">
        <v>25633.8</v>
      </c>
      <c r="C19" s="105">
        <v>698.73580540395199</v>
      </c>
      <c r="D19" s="105">
        <v>2745.6857155360499</v>
      </c>
      <c r="E19" s="105">
        <v>2514.65742363854</v>
      </c>
      <c r="F19" s="105">
        <v>5959.0789445785504</v>
      </c>
      <c r="G19" s="106">
        <v>0.23246958876867799</v>
      </c>
    </row>
    <row r="20" spans="1:7" x14ac:dyDescent="0.2">
      <c r="A20" s="104" t="s">
        <v>265</v>
      </c>
      <c r="B20" s="51">
        <v>19310.795999999998</v>
      </c>
      <c r="C20" s="105">
        <v>1173.8646809350601</v>
      </c>
      <c r="D20" s="105">
        <v>1657.7211234439001</v>
      </c>
      <c r="E20" s="105">
        <v>1153.2770627807599</v>
      </c>
      <c r="F20" s="105">
        <v>3984.8628671597098</v>
      </c>
      <c r="G20" s="106">
        <v>0.20635414858919901</v>
      </c>
    </row>
    <row r="21" spans="1:7" x14ac:dyDescent="0.2">
      <c r="A21" s="104" t="s">
        <v>127</v>
      </c>
      <c r="B21" s="72">
        <v>29216.169000000002</v>
      </c>
      <c r="C21" s="107">
        <v>369.43744346994902</v>
      </c>
      <c r="D21" s="107">
        <v>6228.8359157709401</v>
      </c>
      <c r="E21" s="107">
        <v>-1198.2366350960399</v>
      </c>
      <c r="F21" s="107">
        <v>5400.0367241448503</v>
      </c>
      <c r="G21" s="106">
        <v>0.18483041784653001</v>
      </c>
    </row>
    <row r="22" spans="1:7" x14ac:dyDescent="0.2">
      <c r="A22" s="104" t="s">
        <v>266</v>
      </c>
      <c r="B22" s="72">
        <v>19000.827000000001</v>
      </c>
      <c r="C22" s="107">
        <v>1880.4947397924</v>
      </c>
      <c r="D22" s="107">
        <v>0</v>
      </c>
      <c r="E22" s="107">
        <v>458.98684631218401</v>
      </c>
      <c r="F22" s="107">
        <v>2339.48158610459</v>
      </c>
      <c r="G22" s="106">
        <v>0.123125250606439</v>
      </c>
    </row>
    <row r="23" spans="1:7" x14ac:dyDescent="0.2">
      <c r="A23" s="104" t="s">
        <v>267</v>
      </c>
      <c r="B23" s="51">
        <v>17462.798999999999</v>
      </c>
      <c r="C23" s="107">
        <v>1151.7182763333201</v>
      </c>
      <c r="D23" s="107">
        <v>0</v>
      </c>
      <c r="E23" s="107">
        <v>291.191505305737</v>
      </c>
      <c r="F23" s="107">
        <v>1442.9097816390599</v>
      </c>
      <c r="G23" s="106">
        <v>8.2627634987899407E-2</v>
      </c>
    </row>
    <row r="24" spans="1:7" ht="11.25" customHeight="1" x14ac:dyDescent="0.2">
      <c r="A24" s="179" t="s">
        <v>269</v>
      </c>
      <c r="B24" s="179"/>
      <c r="C24" s="179"/>
      <c r="D24" s="179"/>
      <c r="E24" s="179"/>
      <c r="F24" s="179"/>
      <c r="G24" s="179"/>
    </row>
    <row r="25" spans="1:7" x14ac:dyDescent="0.2">
      <c r="A25" s="112"/>
      <c r="B25" s="112"/>
      <c r="C25" s="112"/>
      <c r="D25" s="112"/>
      <c r="E25" s="112"/>
      <c r="F25" s="112"/>
      <c r="G25" s="112"/>
    </row>
    <row r="26" spans="1:7" x14ac:dyDescent="0.2">
      <c r="A26" s="112"/>
      <c r="B26" s="112"/>
      <c r="C26" s="112"/>
      <c r="D26" s="112"/>
      <c r="E26" s="112"/>
      <c r="F26" s="112"/>
      <c r="G26" s="112"/>
    </row>
    <row r="27" spans="1:7" x14ac:dyDescent="0.2">
      <c r="A27" s="113"/>
      <c r="B27" s="113"/>
      <c r="C27" s="113"/>
      <c r="D27" s="113"/>
      <c r="E27" s="113"/>
      <c r="F27" s="114"/>
      <c r="G27" s="113"/>
    </row>
  </sheetData>
  <mergeCells count="6">
    <mergeCell ref="A24:G24"/>
    <mergeCell ref="A1:G1"/>
    <mergeCell ref="A2:A3"/>
    <mergeCell ref="B2:B3"/>
    <mergeCell ref="C2:F2"/>
    <mergeCell ref="G2:G3"/>
  </mergeCells>
  <pageMargins left="0.74999999999999989" right="0.74999999999999989" top="1.393700787401575" bottom="1.393700787401575" header="1" footer="1"/>
  <pageSetup paperSize="0" fitToWidth="0" fitToHeight="0" orientation="portrait" horizontalDpi="0" verticalDpi="0" copies="0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tabColor theme="9"/>
  </sheetPr>
  <dimension ref="A1:AMJ29"/>
  <sheetViews>
    <sheetView workbookViewId="0">
      <selection sqref="A1:F1"/>
    </sheetView>
  </sheetViews>
  <sheetFormatPr baseColWidth="10" defaultRowHeight="14.25" x14ac:dyDescent="0.2"/>
  <cols>
    <col min="1" max="1" width="15.125" style="1" customWidth="1"/>
    <col min="2" max="1024" width="10.125" style="1" customWidth="1"/>
  </cols>
  <sheetData>
    <row r="1" spans="1:8" x14ac:dyDescent="0.2">
      <c r="A1" s="1" t="s">
        <v>286</v>
      </c>
    </row>
    <row r="2" spans="1:8" x14ac:dyDescent="0.2">
      <c r="A2" s="115" t="s">
        <v>244</v>
      </c>
      <c r="B2" s="116">
        <v>5.34956819795981</v>
      </c>
    </row>
    <row r="3" spans="1:8" ht="11.25" customHeight="1" x14ac:dyDescent="0.2">
      <c r="A3" s="117" t="s">
        <v>118</v>
      </c>
      <c r="B3" s="116">
        <v>2.6693296926410102</v>
      </c>
      <c r="C3" s="48"/>
      <c r="D3" s="48"/>
      <c r="E3" s="48"/>
      <c r="F3" s="48"/>
      <c r="G3" s="48"/>
      <c r="H3" s="48"/>
    </row>
    <row r="4" spans="1:8" x14ac:dyDescent="0.2">
      <c r="A4" s="117" t="s">
        <v>115</v>
      </c>
      <c r="B4" s="116">
        <v>2.5507648862744299</v>
      </c>
      <c r="C4" s="48"/>
      <c r="D4" s="48"/>
      <c r="E4" s="48"/>
      <c r="F4" s="48"/>
      <c r="G4" s="48"/>
      <c r="H4" s="48"/>
    </row>
    <row r="5" spans="1:8" x14ac:dyDescent="0.2">
      <c r="A5" s="117" t="s">
        <v>284</v>
      </c>
      <c r="B5" s="116">
        <v>1.9031818864793899</v>
      </c>
    </row>
    <row r="6" spans="1:8" x14ac:dyDescent="0.2">
      <c r="A6" s="117" t="s">
        <v>128</v>
      </c>
      <c r="B6" s="116">
        <v>1.4913079451217499</v>
      </c>
    </row>
    <row r="7" spans="1:8" x14ac:dyDescent="0.2">
      <c r="A7" s="117" t="s">
        <v>121</v>
      </c>
      <c r="B7" s="116">
        <v>0.63209486116023705</v>
      </c>
    </row>
    <row r="8" spans="1:8" x14ac:dyDescent="0.2">
      <c r="A8" s="117" t="s">
        <v>113</v>
      </c>
      <c r="B8" s="116">
        <v>0.57844381795142397</v>
      </c>
    </row>
    <row r="9" spans="1:8" x14ac:dyDescent="0.2">
      <c r="A9" s="118" t="s">
        <v>285</v>
      </c>
      <c r="B9" s="116">
        <v>0</v>
      </c>
    </row>
    <row r="10" spans="1:8" x14ac:dyDescent="0.2">
      <c r="A10" s="119" t="s">
        <v>125</v>
      </c>
      <c r="B10" s="116">
        <v>-0.48593657753352498</v>
      </c>
    </row>
    <row r="11" spans="1:8" x14ac:dyDescent="0.2">
      <c r="A11" s="117" t="s">
        <v>119</v>
      </c>
      <c r="B11" s="116">
        <v>-0.57210465732896498</v>
      </c>
    </row>
    <row r="12" spans="1:8" x14ac:dyDescent="0.2">
      <c r="A12" s="117" t="s">
        <v>120</v>
      </c>
      <c r="B12" s="116">
        <v>-0.68269767023100303</v>
      </c>
    </row>
    <row r="13" spans="1:8" x14ac:dyDescent="0.2">
      <c r="A13" s="117" t="s">
        <v>114</v>
      </c>
      <c r="B13" s="116">
        <v>-1.1100860528177801</v>
      </c>
    </row>
    <row r="14" spans="1:8" x14ac:dyDescent="0.2">
      <c r="A14" s="117" t="s">
        <v>122</v>
      </c>
      <c r="B14" s="116">
        <v>-1.1508915049581501</v>
      </c>
    </row>
    <row r="15" spans="1:8" x14ac:dyDescent="0.2">
      <c r="A15" s="117" t="s">
        <v>126</v>
      </c>
      <c r="B15" s="116">
        <v>-1.6106874222643</v>
      </c>
    </row>
    <row r="16" spans="1:8" x14ac:dyDescent="0.2">
      <c r="A16" s="117" t="s">
        <v>123</v>
      </c>
      <c r="B16" s="116">
        <v>-1.81179963045801</v>
      </c>
    </row>
    <row r="17" spans="1:6" x14ac:dyDescent="0.2">
      <c r="A17" s="117" t="s">
        <v>124</v>
      </c>
      <c r="B17" s="116">
        <v>-2.38995974681227</v>
      </c>
    </row>
    <row r="18" spans="1:6" x14ac:dyDescent="0.2">
      <c r="A18" s="117" t="s">
        <v>265</v>
      </c>
      <c r="B18" s="116">
        <v>-5.0015037647601801</v>
      </c>
    </row>
    <row r="19" spans="1:6" x14ac:dyDescent="0.2">
      <c r="A19" s="117" t="s">
        <v>127</v>
      </c>
      <c r="B19" s="116">
        <v>-7.15387683902705</v>
      </c>
    </row>
    <row r="20" spans="1:6" x14ac:dyDescent="0.2">
      <c r="A20" s="117" t="s">
        <v>266</v>
      </c>
      <c r="B20" s="116">
        <v>-13.3243935630362</v>
      </c>
    </row>
    <row r="21" spans="1:6" x14ac:dyDescent="0.2">
      <c r="A21" s="117" t="s">
        <v>267</v>
      </c>
      <c r="B21" s="116">
        <v>-17.374155124890201</v>
      </c>
    </row>
    <row r="22" spans="1:6" x14ac:dyDescent="0.2">
      <c r="A22" s="96" t="s">
        <v>287</v>
      </c>
    </row>
    <row r="26" spans="1:6" x14ac:dyDescent="0.2">
      <c r="F26" s="96" t="s">
        <v>287</v>
      </c>
    </row>
    <row r="29" spans="1:6" x14ac:dyDescent="0.2">
      <c r="F29" s="96"/>
    </row>
  </sheetData>
  <pageMargins left="0.74999999999999989" right="0.74999999999999989" top="1.393700787401575" bottom="1.393700787401575" header="1" footer="1"/>
  <pageSetup paperSize="0" fitToWidth="0" fitToHeight="0" orientation="portrait" horizontalDpi="0" verticalDpi="0" copies="0"/>
  <headerFooter alignWithMargins="0"/>
  <drawing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tabColor theme="9"/>
  </sheetPr>
  <dimension ref="A1:AMJ9"/>
  <sheetViews>
    <sheetView workbookViewId="0">
      <selection sqref="A1:F1"/>
    </sheetView>
  </sheetViews>
  <sheetFormatPr baseColWidth="10" defaultRowHeight="14.25" x14ac:dyDescent="0.2"/>
  <cols>
    <col min="1" max="1" width="20.25" style="1" customWidth="1"/>
    <col min="2" max="6" width="9.5" style="1" customWidth="1"/>
    <col min="7" max="1024" width="10.125" style="1" customWidth="1"/>
  </cols>
  <sheetData>
    <row r="1" spans="1:6" x14ac:dyDescent="0.2">
      <c r="A1" s="166" t="s">
        <v>288</v>
      </c>
      <c r="B1" s="166"/>
      <c r="C1" s="166"/>
      <c r="D1" s="166"/>
      <c r="E1" s="166"/>
      <c r="F1" s="166"/>
    </row>
    <row r="2" spans="1:6" ht="11.25" customHeight="1" x14ac:dyDescent="0.2">
      <c r="A2" s="174"/>
      <c r="B2" s="188" t="s">
        <v>282</v>
      </c>
      <c r="C2" s="188"/>
      <c r="D2" s="188"/>
      <c r="E2" s="188"/>
      <c r="F2" s="197" t="s">
        <v>289</v>
      </c>
    </row>
    <row r="3" spans="1:6" ht="22.5" x14ac:dyDescent="0.2">
      <c r="A3" s="174"/>
      <c r="B3" s="120" t="s">
        <v>262</v>
      </c>
      <c r="C3" s="120" t="s">
        <v>263</v>
      </c>
      <c r="D3" s="120" t="s">
        <v>264</v>
      </c>
      <c r="E3" s="120" t="s">
        <v>130</v>
      </c>
      <c r="F3" s="197"/>
    </row>
    <row r="4" spans="1:6" x14ac:dyDescent="0.2">
      <c r="A4" s="121" t="s">
        <v>290</v>
      </c>
      <c r="B4" s="122">
        <v>3590.3832024452799</v>
      </c>
      <c r="C4" s="122">
        <v>3920.06643443138</v>
      </c>
      <c r="D4" s="122">
        <v>424.80927957851702</v>
      </c>
      <c r="E4" s="123">
        <v>7935.25891645518</v>
      </c>
      <c r="F4" s="94">
        <v>0.30941507121793599</v>
      </c>
    </row>
    <row r="5" spans="1:6" x14ac:dyDescent="0.2">
      <c r="A5" s="121" t="s">
        <v>291</v>
      </c>
      <c r="B5" s="122">
        <v>3669.6933783395302</v>
      </c>
      <c r="C5" s="122">
        <v>3882.9337026999901</v>
      </c>
      <c r="D5" s="122">
        <v>432.90914148986002</v>
      </c>
      <c r="E5" s="123">
        <v>7985.5362225293802</v>
      </c>
      <c r="F5" s="94">
        <v>0.31137550583051499</v>
      </c>
    </row>
    <row r="6" spans="1:6" x14ac:dyDescent="0.2">
      <c r="A6" s="121" t="s">
        <v>292</v>
      </c>
      <c r="B6" s="122">
        <v>3600.0243759909199</v>
      </c>
      <c r="C6" s="122">
        <v>3902.81136354932</v>
      </c>
      <c r="D6" s="122">
        <v>470.38955422169101</v>
      </c>
      <c r="E6" s="123">
        <v>7973.2252937619296</v>
      </c>
      <c r="F6" s="94">
        <v>0.31089547273500501</v>
      </c>
    </row>
    <row r="7" spans="1:6" x14ac:dyDescent="0.2">
      <c r="A7" s="121" t="s">
        <v>172</v>
      </c>
      <c r="B7" s="122">
        <v>3645.1295523307399</v>
      </c>
      <c r="C7" s="122">
        <v>3864.7701138071998</v>
      </c>
      <c r="D7" s="122">
        <v>660.77536353628295</v>
      </c>
      <c r="E7" s="123">
        <v>8170.6750296742202</v>
      </c>
      <c r="F7" s="94">
        <v>0.31859451882064299</v>
      </c>
    </row>
    <row r="8" spans="1:6" x14ac:dyDescent="0.2">
      <c r="A8" s="121" t="s">
        <v>293</v>
      </c>
      <c r="B8" s="122">
        <v>3598.66356051805</v>
      </c>
      <c r="C8" s="122">
        <v>3914.2369901488901</v>
      </c>
      <c r="D8" s="122">
        <v>433.77517798322401</v>
      </c>
      <c r="E8" s="123">
        <v>7946.6757286501697</v>
      </c>
      <c r="F8" s="94">
        <v>0.309860240530693</v>
      </c>
    </row>
    <row r="9" spans="1:6" x14ac:dyDescent="0.2">
      <c r="A9" s="198" t="s">
        <v>294</v>
      </c>
      <c r="B9" s="198"/>
      <c r="C9" s="198"/>
      <c r="D9" s="198"/>
      <c r="E9" s="198"/>
      <c r="F9" s="198"/>
    </row>
  </sheetData>
  <mergeCells count="5">
    <mergeCell ref="A1:F1"/>
    <mergeCell ref="A2:A3"/>
    <mergeCell ref="B2:E2"/>
    <mergeCell ref="F2:F3"/>
    <mergeCell ref="A9:F9"/>
  </mergeCells>
  <pageMargins left="0.74999999999999989" right="0.74999999999999989" top="1.393700787401575" bottom="1.393700787401575" header="1" footer="1"/>
  <pageSetup paperSize="0" fitToWidth="0" fitToHeight="0" orientation="portrait" horizontalDpi="0" verticalDpi="0" copies="0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tabColor theme="9"/>
  </sheetPr>
  <dimension ref="A1:AMJ74"/>
  <sheetViews>
    <sheetView topLeftCell="A58" workbookViewId="0">
      <selection sqref="A1:F1"/>
    </sheetView>
  </sheetViews>
  <sheetFormatPr baseColWidth="10" defaultRowHeight="14.25" x14ac:dyDescent="0.2"/>
  <cols>
    <col min="1" max="1" width="23.75" style="97" customWidth="1"/>
    <col min="2" max="6" width="8.875" style="97" customWidth="1"/>
    <col min="7" max="1024" width="10.125" style="97" customWidth="1"/>
  </cols>
  <sheetData>
    <row r="1" spans="1:7" ht="10.5" customHeight="1" x14ac:dyDescent="0.2">
      <c r="A1" s="189" t="s">
        <v>295</v>
      </c>
      <c r="B1" s="189"/>
      <c r="C1" s="189"/>
      <c r="D1" s="189"/>
      <c r="E1" s="189"/>
      <c r="F1" s="189"/>
      <c r="G1" s="97" t="s">
        <v>296</v>
      </c>
    </row>
    <row r="2" spans="1:7" ht="11.25" customHeight="1" x14ac:dyDescent="0.2">
      <c r="A2" s="174"/>
      <c r="B2" s="188" t="s">
        <v>297</v>
      </c>
      <c r="C2" s="188"/>
      <c r="D2" s="188"/>
      <c r="E2" s="188"/>
      <c r="F2" s="197" t="s">
        <v>289</v>
      </c>
    </row>
    <row r="3" spans="1:7" ht="33.75" x14ac:dyDescent="0.2">
      <c r="A3" s="174"/>
      <c r="B3" s="120" t="s">
        <v>262</v>
      </c>
      <c r="C3" s="120" t="s">
        <v>263</v>
      </c>
      <c r="D3" s="120" t="s">
        <v>264</v>
      </c>
      <c r="E3" s="120" t="s">
        <v>130</v>
      </c>
      <c r="F3" s="197"/>
    </row>
    <row r="4" spans="1:7" x14ac:dyDescent="0.2">
      <c r="A4" s="100" t="s">
        <v>290</v>
      </c>
      <c r="B4" s="124">
        <v>3590.3832024452799</v>
      </c>
      <c r="C4" s="124">
        <v>3920.06643443138</v>
      </c>
      <c r="D4" s="124">
        <v>424.80927957851702</v>
      </c>
      <c r="E4" s="124">
        <v>7935.25891645518</v>
      </c>
      <c r="F4" s="103">
        <v>0.30941507121793599</v>
      </c>
    </row>
    <row r="5" spans="1:7" x14ac:dyDescent="0.2">
      <c r="A5" s="125" t="s">
        <v>298</v>
      </c>
      <c r="B5" s="126">
        <v>3408.3755807504999</v>
      </c>
      <c r="C5" s="126">
        <v>3904.7564530954901</v>
      </c>
      <c r="D5" s="126">
        <v>299.68858355716202</v>
      </c>
      <c r="E5" s="124">
        <v>7612.8206174031502</v>
      </c>
      <c r="F5" s="106">
        <v>0.29684241664989303</v>
      </c>
      <c r="G5" s="127"/>
    </row>
    <row r="6" spans="1:7" x14ac:dyDescent="0.2">
      <c r="A6" s="125" t="s">
        <v>154</v>
      </c>
      <c r="B6" s="126">
        <v>3949.7482054838101</v>
      </c>
      <c r="C6" s="126">
        <v>3876.8644410288598</v>
      </c>
      <c r="D6" s="126">
        <v>515.52781678878102</v>
      </c>
      <c r="E6" s="124">
        <v>8342.1404633014499</v>
      </c>
      <c r="F6" s="106">
        <v>0.325280373676263</v>
      </c>
      <c r="G6" s="127"/>
    </row>
    <row r="7" spans="1:7" x14ac:dyDescent="0.2">
      <c r="A7" s="125" t="s">
        <v>299</v>
      </c>
      <c r="B7" s="126">
        <v>3405.1176557618901</v>
      </c>
      <c r="C7" s="126">
        <v>3892.3415213137</v>
      </c>
      <c r="D7" s="126">
        <v>281.344439961288</v>
      </c>
      <c r="E7" s="124">
        <v>7578.8036170368796</v>
      </c>
      <c r="F7" s="106">
        <v>0.29551601095831198</v>
      </c>
      <c r="G7" s="127"/>
    </row>
    <row r="8" spans="1:7" x14ac:dyDescent="0.2">
      <c r="A8" s="125" t="s">
        <v>300</v>
      </c>
      <c r="B8" s="126">
        <v>4130.4521429126798</v>
      </c>
      <c r="C8" s="126">
        <v>4104.9579739452402</v>
      </c>
      <c r="D8" s="126">
        <v>667.67492800812295</v>
      </c>
      <c r="E8" s="124">
        <v>8903.0850448660403</v>
      </c>
      <c r="F8" s="106">
        <v>0.34715296907377502</v>
      </c>
      <c r="G8" s="127"/>
    </row>
    <row r="9" spans="1:7" x14ac:dyDescent="0.2">
      <c r="A9" s="125" t="s">
        <v>301</v>
      </c>
      <c r="B9" s="126">
        <v>3475.57365348144</v>
      </c>
      <c r="C9" s="126">
        <v>3893.31229817453</v>
      </c>
      <c r="D9" s="126">
        <v>315.495468502118</v>
      </c>
      <c r="E9" s="124">
        <v>7684.3814201580899</v>
      </c>
      <c r="F9" s="106">
        <v>0.29963274663331801</v>
      </c>
      <c r="G9" s="127"/>
    </row>
    <row r="10" spans="1:7" x14ac:dyDescent="0.2">
      <c r="A10" s="125" t="s">
        <v>302</v>
      </c>
      <c r="B10" s="126">
        <v>3670.4038209560799</v>
      </c>
      <c r="C10" s="126">
        <v>3931.5202907533699</v>
      </c>
      <c r="D10" s="126">
        <v>627.18959733628299</v>
      </c>
      <c r="E10" s="124">
        <v>8229.1137090457305</v>
      </c>
      <c r="F10" s="106">
        <v>0.32087318525484398</v>
      </c>
      <c r="G10" s="127"/>
    </row>
    <row r="11" spans="1:7" x14ac:dyDescent="0.2">
      <c r="A11" s="125" t="s">
        <v>303</v>
      </c>
      <c r="B11" s="126">
        <v>3835.4827937391201</v>
      </c>
      <c r="C11" s="126">
        <v>3898.2937924532298</v>
      </c>
      <c r="D11" s="126">
        <v>595.14259169977095</v>
      </c>
      <c r="E11" s="124">
        <v>8328.9191778921195</v>
      </c>
      <c r="F11" s="106">
        <v>0.324764843558142</v>
      </c>
      <c r="G11" s="127"/>
    </row>
    <row r="12" spans="1:7" x14ac:dyDescent="0.2">
      <c r="A12" s="125" t="s">
        <v>304</v>
      </c>
      <c r="B12" s="126">
        <v>3378.95983728293</v>
      </c>
      <c r="C12" s="126">
        <v>3890.8888728438901</v>
      </c>
      <c r="D12" s="126">
        <v>314.86292663535602</v>
      </c>
      <c r="E12" s="124">
        <v>7584.7116367621702</v>
      </c>
      <c r="F12" s="106">
        <v>0.295746379036192</v>
      </c>
      <c r="G12" s="127"/>
    </row>
    <row r="13" spans="1:7" x14ac:dyDescent="0.2">
      <c r="A13" s="125" t="s">
        <v>305</v>
      </c>
      <c r="B13" s="126">
        <v>3469.9566063797301</v>
      </c>
      <c r="C13" s="126">
        <v>3933.6499307889599</v>
      </c>
      <c r="D13" s="126">
        <v>431.63590669833701</v>
      </c>
      <c r="E13" s="124">
        <v>7835.2424438670296</v>
      </c>
      <c r="F13" s="106">
        <v>0.305515185364853</v>
      </c>
      <c r="G13" s="127"/>
    </row>
    <row r="14" spans="1:7" x14ac:dyDescent="0.2">
      <c r="A14" s="125" t="s">
        <v>306</v>
      </c>
      <c r="B14" s="126">
        <v>3479.9390895585502</v>
      </c>
      <c r="C14" s="126">
        <v>3913.40326190833</v>
      </c>
      <c r="D14" s="126">
        <v>422.87538455684501</v>
      </c>
      <c r="E14" s="124">
        <v>7816.2177360237201</v>
      </c>
      <c r="F14" s="106">
        <v>0.30477336567198499</v>
      </c>
      <c r="G14" s="127"/>
    </row>
    <row r="15" spans="1:7" x14ac:dyDescent="0.2">
      <c r="A15" s="125" t="s">
        <v>155</v>
      </c>
      <c r="B15" s="126">
        <v>4132.4206800465299</v>
      </c>
      <c r="C15" s="126">
        <v>3978.0474598578198</v>
      </c>
      <c r="D15" s="126">
        <v>382.95921516835</v>
      </c>
      <c r="E15" s="124">
        <v>8493.4273550726994</v>
      </c>
      <c r="F15" s="106">
        <v>0.33117941804073497</v>
      </c>
      <c r="G15" s="127"/>
    </row>
    <row r="16" spans="1:7" x14ac:dyDescent="0.2">
      <c r="A16" s="125" t="s">
        <v>307</v>
      </c>
      <c r="B16" s="126">
        <v>3362.0985207786798</v>
      </c>
      <c r="C16" s="126">
        <v>3935.5815755775502</v>
      </c>
      <c r="D16" s="126">
        <v>396.91261134012098</v>
      </c>
      <c r="E16" s="124">
        <v>7694.5927076963499</v>
      </c>
      <c r="F16" s="106">
        <v>0.300030909603695</v>
      </c>
      <c r="G16" s="127"/>
    </row>
    <row r="17" spans="1:7" x14ac:dyDescent="0.2">
      <c r="A17" s="125" t="s">
        <v>308</v>
      </c>
      <c r="B17" s="126">
        <v>3500.4032380122899</v>
      </c>
      <c r="C17" s="126">
        <v>3940.7406350186302</v>
      </c>
      <c r="D17" s="126">
        <v>522.02362842247396</v>
      </c>
      <c r="E17" s="124">
        <v>7963.1675014534003</v>
      </c>
      <c r="F17" s="106">
        <v>0.31050329491746798</v>
      </c>
      <c r="G17" s="127"/>
    </row>
    <row r="18" spans="1:7" x14ac:dyDescent="0.2">
      <c r="A18" s="125" t="s">
        <v>309</v>
      </c>
      <c r="B18" s="126">
        <v>3815.2872710277902</v>
      </c>
      <c r="C18" s="126">
        <v>3944.7707559016699</v>
      </c>
      <c r="D18" s="126">
        <v>638.06581992457495</v>
      </c>
      <c r="E18" s="124">
        <v>8398.1238468540396</v>
      </c>
      <c r="F18" s="106">
        <v>0.327463302146691</v>
      </c>
      <c r="G18" s="127"/>
    </row>
    <row r="19" spans="1:7" x14ac:dyDescent="0.2">
      <c r="A19" s="125" t="s">
        <v>310</v>
      </c>
      <c r="B19" s="126">
        <v>3357.4813658835101</v>
      </c>
      <c r="C19" s="126">
        <v>3877.0225716409</v>
      </c>
      <c r="D19" s="126">
        <v>434.28686829517</v>
      </c>
      <c r="E19" s="124">
        <v>7668.7908058195799</v>
      </c>
      <c r="F19" s="106">
        <v>0.29902483060982499</v>
      </c>
      <c r="G19" s="127"/>
    </row>
    <row r="20" spans="1:7" x14ac:dyDescent="0.2">
      <c r="A20" s="125" t="s">
        <v>311</v>
      </c>
      <c r="B20" s="126">
        <v>3386.4762969841299</v>
      </c>
      <c r="C20" s="126">
        <v>3882.7767271919001</v>
      </c>
      <c r="D20" s="126">
        <v>205.215795707442</v>
      </c>
      <c r="E20" s="124">
        <v>7474.4688198834701</v>
      </c>
      <c r="F20" s="106">
        <v>0.29144774311329102</v>
      </c>
      <c r="G20" s="127"/>
    </row>
    <row r="21" spans="1:7" x14ac:dyDescent="0.2">
      <c r="A21" s="125" t="s">
        <v>312</v>
      </c>
      <c r="B21" s="126">
        <v>4805.9574679325697</v>
      </c>
      <c r="C21" s="126">
        <v>3955.2909699093002</v>
      </c>
      <c r="D21" s="126">
        <v>937.39266696760899</v>
      </c>
      <c r="E21" s="124">
        <v>9698.6411048094797</v>
      </c>
      <c r="F21" s="106">
        <v>0.37817363740191401</v>
      </c>
      <c r="G21" s="127"/>
    </row>
    <row r="22" spans="1:7" x14ac:dyDescent="0.2">
      <c r="A22" s="125" t="s">
        <v>313</v>
      </c>
      <c r="B22" s="126">
        <v>4587.1922054173101</v>
      </c>
      <c r="C22" s="126">
        <v>3956.2355669788999</v>
      </c>
      <c r="D22" s="126">
        <v>1113.3942084816499</v>
      </c>
      <c r="E22" s="124">
        <v>9656.8219808778504</v>
      </c>
      <c r="F22" s="106">
        <v>0.376543007910702</v>
      </c>
      <c r="G22" s="127"/>
    </row>
    <row r="23" spans="1:7" x14ac:dyDescent="0.2">
      <c r="A23" s="125" t="s">
        <v>314</v>
      </c>
      <c r="B23" s="126">
        <v>3442.4089171175001</v>
      </c>
      <c r="C23" s="126">
        <v>3883.5224619976302</v>
      </c>
      <c r="D23" s="126">
        <v>348.39361621307398</v>
      </c>
      <c r="E23" s="124">
        <v>7674.3249953282002</v>
      </c>
      <c r="F23" s="106">
        <v>0.29924062213710501</v>
      </c>
      <c r="G23" s="127"/>
    </row>
    <row r="24" spans="1:7" x14ac:dyDescent="0.2">
      <c r="A24" s="125" t="s">
        <v>315</v>
      </c>
      <c r="B24" s="126">
        <v>3608.67614566666</v>
      </c>
      <c r="C24" s="126">
        <v>3930.3892661085101</v>
      </c>
      <c r="D24" s="126">
        <v>525.708435134203</v>
      </c>
      <c r="E24" s="124">
        <v>8064.7738469093802</v>
      </c>
      <c r="F24" s="106">
        <v>0.31446517378575101</v>
      </c>
      <c r="G24" s="127"/>
    </row>
    <row r="25" spans="1:7" x14ac:dyDescent="0.2">
      <c r="A25" s="125" t="s">
        <v>316</v>
      </c>
      <c r="B25" s="126">
        <v>3526.6342468666799</v>
      </c>
      <c r="C25" s="126">
        <v>3899.7737844613398</v>
      </c>
      <c r="D25" s="126">
        <v>405.96472323911598</v>
      </c>
      <c r="E25" s="124">
        <v>7832.37275456714</v>
      </c>
      <c r="F25" s="106">
        <v>0.30540328919001503</v>
      </c>
      <c r="G25" s="127"/>
    </row>
    <row r="26" spans="1:7" x14ac:dyDescent="0.2">
      <c r="A26" s="125" t="s">
        <v>317</v>
      </c>
      <c r="B26" s="126">
        <v>3711.0940135061301</v>
      </c>
      <c r="C26" s="126">
        <v>3897.3798260703202</v>
      </c>
      <c r="D26" s="126">
        <v>652.90490719015895</v>
      </c>
      <c r="E26" s="124">
        <v>8261.3787467666007</v>
      </c>
      <c r="F26" s="106">
        <v>0.322131277656032</v>
      </c>
      <c r="G26" s="127"/>
    </row>
    <row r="27" spans="1:7" x14ac:dyDescent="0.2">
      <c r="A27" s="125" t="s">
        <v>156</v>
      </c>
      <c r="B27" s="126">
        <v>3391.8457694505901</v>
      </c>
      <c r="C27" s="126">
        <v>3873.6320198358499</v>
      </c>
      <c r="D27" s="126">
        <v>429.328290796126</v>
      </c>
      <c r="E27" s="124">
        <v>7694.8060800825597</v>
      </c>
      <c r="F27" s="106">
        <v>0.30003922951269402</v>
      </c>
      <c r="G27" s="127"/>
    </row>
    <row r="28" spans="1:7" x14ac:dyDescent="0.2">
      <c r="A28" s="125" t="s">
        <v>318</v>
      </c>
      <c r="B28" s="126">
        <v>3346.2165092554301</v>
      </c>
      <c r="C28" s="126">
        <v>3891.4029094659099</v>
      </c>
      <c r="D28" s="126">
        <v>248.98322633401401</v>
      </c>
      <c r="E28" s="124">
        <v>7486.60264505536</v>
      </c>
      <c r="F28" s="106">
        <v>0.29192087050828103</v>
      </c>
      <c r="G28" s="127"/>
    </row>
    <row r="29" spans="1:7" x14ac:dyDescent="0.2">
      <c r="A29" s="125" t="s">
        <v>319</v>
      </c>
      <c r="B29" s="126">
        <v>3408.5765750300502</v>
      </c>
      <c r="C29" s="126">
        <v>3880.4710386698998</v>
      </c>
      <c r="D29" s="126">
        <v>417.00086524288997</v>
      </c>
      <c r="E29" s="124">
        <v>7706.0484789428401</v>
      </c>
      <c r="F29" s="106">
        <v>0.30047759802475399</v>
      </c>
      <c r="G29" s="127"/>
    </row>
    <row r="30" spans="1:7" x14ac:dyDescent="0.2">
      <c r="A30" s="125" t="s">
        <v>320</v>
      </c>
      <c r="B30" s="126">
        <v>3391.0604353162198</v>
      </c>
      <c r="C30" s="126">
        <v>3903.5689756285601</v>
      </c>
      <c r="D30" s="126">
        <v>263.816335582139</v>
      </c>
      <c r="E30" s="124">
        <v>7558.4457465269097</v>
      </c>
      <c r="F30" s="106">
        <v>0.29472220800619597</v>
      </c>
      <c r="G30" s="127"/>
    </row>
    <row r="31" spans="1:7" x14ac:dyDescent="0.2">
      <c r="A31" s="125" t="s">
        <v>157</v>
      </c>
      <c r="B31" s="126">
        <v>3607.6931060318402</v>
      </c>
      <c r="C31" s="126">
        <v>3882.8331247241799</v>
      </c>
      <c r="D31" s="126">
        <v>446.561656563871</v>
      </c>
      <c r="E31" s="124">
        <v>7937.0878873198999</v>
      </c>
      <c r="F31" s="106">
        <v>0.30948638724635003</v>
      </c>
      <c r="G31" s="127"/>
    </row>
    <row r="32" spans="1:7" x14ac:dyDescent="0.2">
      <c r="A32" s="125" t="s">
        <v>158</v>
      </c>
      <c r="B32" s="126">
        <v>3514.3383108917701</v>
      </c>
      <c r="C32" s="126">
        <v>3878.3923091716201</v>
      </c>
      <c r="D32" s="126">
        <v>379.80743645827999</v>
      </c>
      <c r="E32" s="124">
        <v>7772.5380565216701</v>
      </c>
      <c r="F32" s="106">
        <v>0.30307018858775903</v>
      </c>
      <c r="G32" s="127"/>
    </row>
    <row r="33" spans="1:7" x14ac:dyDescent="0.2">
      <c r="A33" s="125" t="s">
        <v>321</v>
      </c>
      <c r="B33" s="126">
        <v>3444.6302843540798</v>
      </c>
      <c r="C33" s="126">
        <v>3875.2688432575901</v>
      </c>
      <c r="D33" s="126">
        <v>326.02728842526699</v>
      </c>
      <c r="E33" s="124">
        <v>7645.9264160369403</v>
      </c>
      <c r="F33" s="106">
        <v>0.29813329236672098</v>
      </c>
      <c r="G33" s="127"/>
    </row>
    <row r="34" spans="1:7" x14ac:dyDescent="0.2">
      <c r="A34" s="125" t="s">
        <v>322</v>
      </c>
      <c r="B34" s="126">
        <v>3356.3965141375402</v>
      </c>
      <c r="C34" s="126">
        <v>3877.8702466088398</v>
      </c>
      <c r="D34" s="126">
        <v>301.94786695346801</v>
      </c>
      <c r="E34" s="124">
        <v>7536.2146276998501</v>
      </c>
      <c r="F34" s="106">
        <v>0.29385536253996097</v>
      </c>
      <c r="G34" s="127"/>
    </row>
    <row r="35" spans="1:7" x14ac:dyDescent="0.2">
      <c r="A35" s="125" t="s">
        <v>159</v>
      </c>
      <c r="B35" s="126">
        <v>3484.8783856086602</v>
      </c>
      <c r="C35" s="126">
        <v>3902.4661924529901</v>
      </c>
      <c r="D35" s="126">
        <v>351.64295080443202</v>
      </c>
      <c r="E35" s="124">
        <v>7738.9875288660796</v>
      </c>
      <c r="F35" s="106">
        <v>0.30176197180324699</v>
      </c>
      <c r="G35" s="127"/>
    </row>
    <row r="36" spans="1:7" x14ac:dyDescent="0.2">
      <c r="A36" s="125" t="s">
        <v>323</v>
      </c>
      <c r="B36" s="126">
        <v>3479.4039068929301</v>
      </c>
      <c r="C36" s="126">
        <v>3901.9118971017401</v>
      </c>
      <c r="D36" s="126">
        <v>311.640894312559</v>
      </c>
      <c r="E36" s="124">
        <v>7692.95669830723</v>
      </c>
      <c r="F36" s="106">
        <v>0.29996711761316502</v>
      </c>
      <c r="G36" s="127"/>
    </row>
    <row r="37" spans="1:7" x14ac:dyDescent="0.2">
      <c r="A37" s="125" t="s">
        <v>324</v>
      </c>
      <c r="B37" s="126">
        <v>3735.5194169817801</v>
      </c>
      <c r="C37" s="126">
        <v>3931.8990337190799</v>
      </c>
      <c r="D37" s="126">
        <v>609.50958149719304</v>
      </c>
      <c r="E37" s="124">
        <v>8276.9280321980496</v>
      </c>
      <c r="F37" s="106">
        <v>0.32273758216478399</v>
      </c>
      <c r="G37" s="127"/>
    </row>
    <row r="38" spans="1:7" x14ac:dyDescent="0.2">
      <c r="A38" s="125" t="s">
        <v>160</v>
      </c>
      <c r="B38" s="126">
        <v>3526.3156911446899</v>
      </c>
      <c r="C38" s="126">
        <v>3930.6584540193599</v>
      </c>
      <c r="D38" s="126">
        <v>408.67171152426499</v>
      </c>
      <c r="E38" s="124">
        <v>7865.6458566883202</v>
      </c>
      <c r="F38" s="106">
        <v>0.30670068847727999</v>
      </c>
      <c r="G38" s="127"/>
    </row>
    <row r="39" spans="1:7" x14ac:dyDescent="0.2">
      <c r="A39" s="125" t="s">
        <v>325</v>
      </c>
      <c r="B39" s="126">
        <v>3274.5255388378</v>
      </c>
      <c r="C39" s="126">
        <v>3900.1956346984002</v>
      </c>
      <c r="D39" s="126">
        <v>277.91880883201401</v>
      </c>
      <c r="E39" s="124">
        <v>7452.6399823682104</v>
      </c>
      <c r="F39" s="106">
        <v>0.29059658357514601</v>
      </c>
      <c r="G39" s="127"/>
    </row>
    <row r="40" spans="1:7" x14ac:dyDescent="0.2">
      <c r="A40" s="125" t="s">
        <v>161</v>
      </c>
      <c r="B40" s="126">
        <v>3717.7460741983</v>
      </c>
      <c r="C40" s="126">
        <v>3920.0864921522898</v>
      </c>
      <c r="D40" s="126">
        <v>576.89337323963196</v>
      </c>
      <c r="E40" s="124">
        <v>8214.7259395902292</v>
      </c>
      <c r="F40" s="106">
        <v>0.320312171082829</v>
      </c>
      <c r="G40" s="127"/>
    </row>
    <row r="41" spans="1:7" x14ac:dyDescent="0.2">
      <c r="A41" s="125" t="s">
        <v>326</v>
      </c>
      <c r="B41" s="126">
        <v>3385.9907762152302</v>
      </c>
      <c r="C41" s="126">
        <v>3890.7239471245798</v>
      </c>
      <c r="D41" s="126">
        <v>193.90777693435999</v>
      </c>
      <c r="E41" s="124">
        <v>7470.6225002741703</v>
      </c>
      <c r="F41" s="106">
        <v>0.29129776574413802</v>
      </c>
      <c r="G41" s="127"/>
    </row>
    <row r="42" spans="1:7" x14ac:dyDescent="0.2">
      <c r="A42" s="125" t="s">
        <v>327</v>
      </c>
      <c r="B42" s="126">
        <v>3419.6778703626501</v>
      </c>
      <c r="C42" s="126">
        <v>3879.3786520614999</v>
      </c>
      <c r="D42" s="126">
        <v>433.22515683074403</v>
      </c>
      <c r="E42" s="124">
        <v>7732.2816792548902</v>
      </c>
      <c r="F42" s="106">
        <v>0.30150049439502802</v>
      </c>
      <c r="G42" s="127"/>
    </row>
    <row r="43" spans="1:7" x14ac:dyDescent="0.2">
      <c r="A43" s="125" t="s">
        <v>328</v>
      </c>
      <c r="B43" s="126">
        <v>3723.6169449928002</v>
      </c>
      <c r="C43" s="126">
        <v>3992.4212406203201</v>
      </c>
      <c r="D43" s="126">
        <v>496.95364924636499</v>
      </c>
      <c r="E43" s="124">
        <v>8212.9918348594892</v>
      </c>
      <c r="F43" s="106">
        <v>0.32024455411602198</v>
      </c>
      <c r="G43" s="127"/>
    </row>
    <row r="44" spans="1:7" x14ac:dyDescent="0.2">
      <c r="A44" s="125" t="s">
        <v>329</v>
      </c>
      <c r="B44" s="126">
        <v>3408.3960059194801</v>
      </c>
      <c r="C44" s="126">
        <v>3932.8273553833701</v>
      </c>
      <c r="D44" s="126">
        <v>348.617117064166</v>
      </c>
      <c r="E44" s="124">
        <v>7689.8404783670103</v>
      </c>
      <c r="F44" s="106">
        <v>0.299845608608243</v>
      </c>
      <c r="G44" s="127"/>
    </row>
    <row r="45" spans="1:7" x14ac:dyDescent="0.2">
      <c r="A45" s="125" t="s">
        <v>330</v>
      </c>
      <c r="B45" s="126">
        <v>3392.85945483456</v>
      </c>
      <c r="C45" s="126">
        <v>3878.7008933192201</v>
      </c>
      <c r="D45" s="126">
        <v>353.21323528817697</v>
      </c>
      <c r="E45" s="124">
        <v>7624.77358344196</v>
      </c>
      <c r="F45" s="106">
        <v>0.29730849190680603</v>
      </c>
      <c r="G45" s="127"/>
    </row>
    <row r="46" spans="1:7" x14ac:dyDescent="0.2">
      <c r="A46" s="125" t="s">
        <v>331</v>
      </c>
      <c r="B46" s="126">
        <v>4132.8936599339604</v>
      </c>
      <c r="C46" s="126">
        <v>3951.7938950326802</v>
      </c>
      <c r="D46" s="126">
        <v>684.49842134439996</v>
      </c>
      <c r="E46" s="124">
        <v>8769.1859763110406</v>
      </c>
      <c r="F46" s="106">
        <v>0.34193191828398301</v>
      </c>
      <c r="G46" s="127"/>
    </row>
    <row r="47" spans="1:7" x14ac:dyDescent="0.2">
      <c r="A47" s="125" t="s">
        <v>332</v>
      </c>
      <c r="B47" s="126">
        <v>3443.4009547727701</v>
      </c>
      <c r="C47" s="126">
        <v>3908.8036364018599</v>
      </c>
      <c r="D47" s="126">
        <v>393.66563408986298</v>
      </c>
      <c r="E47" s="124">
        <v>7745.8702252644798</v>
      </c>
      <c r="F47" s="106">
        <v>0.30203034489840502</v>
      </c>
      <c r="G47" s="127"/>
    </row>
    <row r="48" spans="1:7" x14ac:dyDescent="0.2">
      <c r="A48" s="125" t="s">
        <v>333</v>
      </c>
      <c r="B48" s="126">
        <v>3605.8985503539202</v>
      </c>
      <c r="C48" s="126">
        <v>3872.5558050455102</v>
      </c>
      <c r="D48" s="126">
        <v>476.49181136033002</v>
      </c>
      <c r="E48" s="124">
        <v>7954.9461667597598</v>
      </c>
      <c r="F48" s="106">
        <v>0.31018272505497002</v>
      </c>
      <c r="G48" s="127"/>
    </row>
    <row r="49" spans="1:7" x14ac:dyDescent="0.2">
      <c r="A49" s="125" t="s">
        <v>334</v>
      </c>
      <c r="B49" s="126">
        <v>3391.2496849175</v>
      </c>
      <c r="C49" s="126">
        <v>3878.99476620206</v>
      </c>
      <c r="D49" s="126">
        <v>448.13671988755698</v>
      </c>
      <c r="E49" s="124">
        <v>7718.3811710071204</v>
      </c>
      <c r="F49" s="106">
        <v>0.30095847972421103</v>
      </c>
      <c r="G49" s="127"/>
    </row>
    <row r="50" spans="1:7" x14ac:dyDescent="0.2">
      <c r="A50" s="125" t="s">
        <v>162</v>
      </c>
      <c r="B50" s="126">
        <v>3950.5913868856401</v>
      </c>
      <c r="C50" s="126">
        <v>3945.3191803367699</v>
      </c>
      <c r="D50" s="126">
        <v>586.07377492284695</v>
      </c>
      <c r="E50" s="124">
        <v>8481.9843421452606</v>
      </c>
      <c r="F50" s="106">
        <v>0.330733227097608</v>
      </c>
      <c r="G50" s="127"/>
    </row>
    <row r="51" spans="1:7" x14ac:dyDescent="0.2">
      <c r="A51" s="125" t="s">
        <v>335</v>
      </c>
      <c r="B51" s="126">
        <v>3427.8854557943801</v>
      </c>
      <c r="C51" s="126">
        <v>3921.3273844751202</v>
      </c>
      <c r="D51" s="126">
        <v>283.22043284062499</v>
      </c>
      <c r="E51" s="124">
        <v>7632.4332731101304</v>
      </c>
      <c r="F51" s="106">
        <v>0.29760716186189401</v>
      </c>
      <c r="G51" s="127"/>
    </row>
    <row r="52" spans="1:7" x14ac:dyDescent="0.2">
      <c r="A52" s="125" t="s">
        <v>336</v>
      </c>
      <c r="B52" s="126">
        <v>3634.74911279564</v>
      </c>
      <c r="C52" s="126">
        <v>3903.4202216099802</v>
      </c>
      <c r="D52" s="126">
        <v>492.39999733565401</v>
      </c>
      <c r="E52" s="124">
        <v>8030.5693317412797</v>
      </c>
      <c r="F52" s="106">
        <v>0.313131456435361</v>
      </c>
      <c r="G52" s="127"/>
    </row>
    <row r="53" spans="1:7" x14ac:dyDescent="0.2">
      <c r="A53" s="125" t="s">
        <v>337</v>
      </c>
      <c r="B53" s="126">
        <v>3327.32217067785</v>
      </c>
      <c r="C53" s="126">
        <v>3877.6211128845998</v>
      </c>
      <c r="D53" s="126">
        <v>297.07519483400802</v>
      </c>
      <c r="E53" s="124">
        <v>7502.0184783964696</v>
      </c>
      <c r="F53" s="106">
        <v>0.29252197139501102</v>
      </c>
      <c r="G53" s="127"/>
    </row>
    <row r="54" spans="1:7" x14ac:dyDescent="0.2">
      <c r="A54" s="125" t="s">
        <v>163</v>
      </c>
      <c r="B54" s="126">
        <v>3674.3680299961302</v>
      </c>
      <c r="C54" s="126">
        <v>3891.5916747298802</v>
      </c>
      <c r="D54" s="126">
        <v>428.47530853130002</v>
      </c>
      <c r="E54" s="124">
        <v>7994.4350132573099</v>
      </c>
      <c r="F54" s="106">
        <v>0.31172249135371299</v>
      </c>
      <c r="G54" s="127"/>
    </row>
    <row r="55" spans="1:7" x14ac:dyDescent="0.2">
      <c r="A55" s="125" t="s">
        <v>338</v>
      </c>
      <c r="B55" s="126">
        <v>3770.8009089799698</v>
      </c>
      <c r="C55" s="126">
        <v>3886.71917660909</v>
      </c>
      <c r="D55" s="126">
        <v>450.16642753047898</v>
      </c>
      <c r="E55" s="124">
        <v>8107.68651311954</v>
      </c>
      <c r="F55" s="106">
        <v>0.31613844315369</v>
      </c>
      <c r="G55" s="127"/>
    </row>
    <row r="56" spans="1:7" x14ac:dyDescent="0.2">
      <c r="A56" s="125" t="s">
        <v>339</v>
      </c>
      <c r="B56" s="126">
        <v>3799.2039399197402</v>
      </c>
      <c r="C56" s="126">
        <v>3962.2927950295898</v>
      </c>
      <c r="D56" s="126">
        <v>930.98711970805505</v>
      </c>
      <c r="E56" s="124">
        <v>8692.4838546573792</v>
      </c>
      <c r="F56" s="106">
        <v>0.33894111575518099</v>
      </c>
      <c r="G56" s="127"/>
    </row>
    <row r="57" spans="1:7" x14ac:dyDescent="0.2">
      <c r="A57" s="125" t="s">
        <v>340</v>
      </c>
      <c r="B57" s="126">
        <v>3319.5086087197201</v>
      </c>
      <c r="C57" s="126">
        <v>3888.90457692164</v>
      </c>
      <c r="D57" s="126">
        <v>267.71898155191599</v>
      </c>
      <c r="E57" s="124">
        <v>7476.1321671932701</v>
      </c>
      <c r="F57" s="106">
        <v>0.29151260107592902</v>
      </c>
      <c r="G57" s="127"/>
    </row>
    <row r="58" spans="1:7" x14ac:dyDescent="0.2">
      <c r="A58" s="100" t="s">
        <v>291</v>
      </c>
      <c r="B58" s="124">
        <v>3669.6933783395302</v>
      </c>
      <c r="C58" s="124">
        <v>3882.9337026999901</v>
      </c>
      <c r="D58" s="124">
        <v>432.90914148986002</v>
      </c>
      <c r="E58" s="124">
        <v>7985.5362225293802</v>
      </c>
      <c r="F58" s="103">
        <v>0.31137550583051499</v>
      </c>
    </row>
    <row r="59" spans="1:7" x14ac:dyDescent="0.2">
      <c r="A59" s="128" t="s">
        <v>341</v>
      </c>
      <c r="B59" s="122">
        <v>3624.3341120710002</v>
      </c>
      <c r="C59" s="122">
        <v>3887.4277592990102</v>
      </c>
      <c r="D59" s="122">
        <v>385.29856115678302</v>
      </c>
      <c r="E59" s="124">
        <v>7897.0604325267996</v>
      </c>
      <c r="F59" s="106">
        <v>0.30792561929840101</v>
      </c>
    </row>
    <row r="60" spans="1:7" x14ac:dyDescent="0.2">
      <c r="A60" s="128" t="s">
        <v>342</v>
      </c>
      <c r="B60" s="122">
        <v>3561.4967211619701</v>
      </c>
      <c r="C60" s="122">
        <v>3881.46166125938</v>
      </c>
      <c r="D60" s="122">
        <v>490.96439995699501</v>
      </c>
      <c r="E60" s="124">
        <v>7933.9227823783403</v>
      </c>
      <c r="F60" s="106">
        <v>0.30936297209616898</v>
      </c>
    </row>
    <row r="61" spans="1:7" x14ac:dyDescent="0.2">
      <c r="A61" s="128" t="s">
        <v>343</v>
      </c>
      <c r="B61" s="122">
        <v>3517.4867014121501</v>
      </c>
      <c r="C61" s="122">
        <v>3878.0761269414602</v>
      </c>
      <c r="D61" s="122">
        <v>337.08836827814503</v>
      </c>
      <c r="E61" s="124">
        <v>7732.6511966317603</v>
      </c>
      <c r="F61" s="106">
        <v>0.30151490277749998</v>
      </c>
    </row>
    <row r="62" spans="1:7" x14ac:dyDescent="0.2">
      <c r="A62" s="128" t="s">
        <v>167</v>
      </c>
      <c r="B62" s="122">
        <v>3703.65122020431</v>
      </c>
      <c r="C62" s="122">
        <v>3869.9717782144198</v>
      </c>
      <c r="D62" s="122">
        <v>399.56405786847199</v>
      </c>
      <c r="E62" s="124">
        <v>7973.18705628721</v>
      </c>
      <c r="F62" s="106">
        <v>0.31089398176273902</v>
      </c>
      <c r="G62" s="127"/>
    </row>
    <row r="63" spans="1:7" x14ac:dyDescent="0.2">
      <c r="A63" s="128" t="s">
        <v>344</v>
      </c>
      <c r="B63" s="122">
        <v>4026.44291791775</v>
      </c>
      <c r="C63" s="122">
        <v>3898.7183363714998</v>
      </c>
      <c r="D63" s="122">
        <v>539.47663978769003</v>
      </c>
      <c r="E63" s="124">
        <v>8464.6378940769391</v>
      </c>
      <c r="F63" s="106">
        <v>0.33005684684071301</v>
      </c>
      <c r="G63" s="127"/>
    </row>
    <row r="64" spans="1:7" x14ac:dyDescent="0.2">
      <c r="A64" s="128" t="s">
        <v>345</v>
      </c>
      <c r="B64" s="122">
        <v>3904.9776938012801</v>
      </c>
      <c r="C64" s="122">
        <v>3914.2095793477001</v>
      </c>
      <c r="D64" s="122">
        <v>527.80354172343505</v>
      </c>
      <c r="E64" s="124">
        <v>8346.9908148724207</v>
      </c>
      <c r="F64" s="106">
        <v>0.32546950069688901</v>
      </c>
      <c r="G64" s="127"/>
    </row>
    <row r="65" spans="1:7" x14ac:dyDescent="0.2">
      <c r="A65" s="128" t="s">
        <v>346</v>
      </c>
      <c r="B65" s="122">
        <v>3638.5344155972102</v>
      </c>
      <c r="C65" s="122">
        <v>3879.2466341634099</v>
      </c>
      <c r="D65" s="122">
        <v>229.89888301717099</v>
      </c>
      <c r="E65" s="124">
        <v>7747.6799327777899</v>
      </c>
      <c r="F65" s="106">
        <v>0.30210090980183202</v>
      </c>
      <c r="G65" s="127"/>
    </row>
    <row r="66" spans="1:7" x14ac:dyDescent="0.2">
      <c r="A66" s="128" t="s">
        <v>347</v>
      </c>
      <c r="B66" s="122">
        <v>3830.9378665555</v>
      </c>
      <c r="C66" s="122">
        <v>3980.8531573146802</v>
      </c>
      <c r="D66" s="122">
        <v>749.75005611632196</v>
      </c>
      <c r="E66" s="124">
        <v>8561.5410799865094</v>
      </c>
      <c r="F66" s="106">
        <v>0.33383533806388899</v>
      </c>
      <c r="G66" s="127"/>
    </row>
    <row r="67" spans="1:7" x14ac:dyDescent="0.2">
      <c r="A67" s="100" t="s">
        <v>292</v>
      </c>
      <c r="B67" s="124">
        <v>3600.0243759909199</v>
      </c>
      <c r="C67" s="124">
        <v>3902.81136354932</v>
      </c>
      <c r="D67" s="124">
        <v>470.38955422169101</v>
      </c>
      <c r="E67" s="124">
        <v>7973.2252937619296</v>
      </c>
      <c r="F67" s="103">
        <v>0.31089547273500501</v>
      </c>
    </row>
    <row r="68" spans="1:7" x14ac:dyDescent="0.2">
      <c r="A68" s="129" t="s">
        <v>169</v>
      </c>
      <c r="B68" s="126">
        <v>3652.5608508692599</v>
      </c>
      <c r="C68" s="126">
        <v>3892.7887592607299</v>
      </c>
      <c r="D68" s="126">
        <v>510.421513160774</v>
      </c>
      <c r="E68" s="124">
        <v>8055.7711232907604</v>
      </c>
      <c r="F68" s="106">
        <v>0.31411413566601998</v>
      </c>
      <c r="G68" s="127"/>
    </row>
    <row r="69" spans="1:7" x14ac:dyDescent="0.2">
      <c r="A69" s="129" t="s">
        <v>348</v>
      </c>
      <c r="B69" s="126">
        <v>3596.7028169590199</v>
      </c>
      <c r="C69" s="126">
        <v>3887.69090118231</v>
      </c>
      <c r="D69" s="126">
        <v>394.58270090806502</v>
      </c>
      <c r="E69" s="124">
        <v>7878.9764190493897</v>
      </c>
      <c r="F69" s="106">
        <v>0.30722047956989001</v>
      </c>
      <c r="G69" s="127"/>
    </row>
    <row r="70" spans="1:7" x14ac:dyDescent="0.2">
      <c r="A70" s="129" t="s">
        <v>349</v>
      </c>
      <c r="B70" s="126">
        <v>3587.11033136786</v>
      </c>
      <c r="C70" s="126">
        <v>3912.3264400687599</v>
      </c>
      <c r="D70" s="126">
        <v>502.88211833236397</v>
      </c>
      <c r="E70" s="124">
        <v>8002.3188897689797</v>
      </c>
      <c r="F70" s="106">
        <v>0.31202990289982802</v>
      </c>
      <c r="G70" s="127"/>
    </row>
    <row r="71" spans="1:7" x14ac:dyDescent="0.2">
      <c r="A71" s="129" t="s">
        <v>350</v>
      </c>
      <c r="B71" s="126">
        <v>3583.3135314655601</v>
      </c>
      <c r="C71" s="126">
        <v>3902.5858440117099</v>
      </c>
      <c r="D71" s="126">
        <v>472.82701608678298</v>
      </c>
      <c r="E71" s="124">
        <v>7958.7263915640597</v>
      </c>
      <c r="F71" s="106">
        <v>0.310330125226704</v>
      </c>
      <c r="G71" s="127"/>
    </row>
    <row r="72" spans="1:7" x14ac:dyDescent="0.2">
      <c r="A72" s="129" t="s">
        <v>170</v>
      </c>
      <c r="B72" s="126">
        <v>3545.9497181530101</v>
      </c>
      <c r="C72" s="126">
        <v>3919.5499703300602</v>
      </c>
      <c r="D72" s="126">
        <v>447.152096318541</v>
      </c>
      <c r="E72" s="124">
        <v>7912.6517848016201</v>
      </c>
      <c r="F72" s="106">
        <v>0.30853356409582799</v>
      </c>
      <c r="G72" s="127"/>
    </row>
    <row r="73" spans="1:7" x14ac:dyDescent="0.2">
      <c r="A73" s="100" t="s">
        <v>172</v>
      </c>
      <c r="B73" s="124">
        <v>3645.1295523307399</v>
      </c>
      <c r="C73" s="124">
        <v>3864.7701138071998</v>
      </c>
      <c r="D73" s="124">
        <v>660.77536353628295</v>
      </c>
      <c r="E73" s="124">
        <v>8170.6750296742202</v>
      </c>
      <c r="F73" s="103">
        <v>0.31859451882064299</v>
      </c>
      <c r="G73" s="127"/>
    </row>
    <row r="74" spans="1:7" x14ac:dyDescent="0.2">
      <c r="A74" s="199" t="s">
        <v>294</v>
      </c>
      <c r="B74" s="199"/>
      <c r="C74" s="199"/>
      <c r="D74" s="199"/>
      <c r="E74" s="199"/>
      <c r="F74" s="199"/>
    </row>
  </sheetData>
  <mergeCells count="5">
    <mergeCell ref="A1:F1"/>
    <mergeCell ref="A2:A3"/>
    <mergeCell ref="B2:E2"/>
    <mergeCell ref="F2:F3"/>
    <mergeCell ref="A74:F74"/>
  </mergeCells>
  <pageMargins left="0.70000000000000007" right="0.70000000000000007" top="1.1437007874015745" bottom="1.1437007874015745" header="0.74999999999999989" footer="0.74999999999999989"/>
  <pageSetup paperSize="0" fitToWidth="0" fitToHeight="0" orientation="portrait" horizontalDpi="0" verticalDpi="0" copies="0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9"/>
  </sheetPr>
  <dimension ref="A1:AMJ22"/>
  <sheetViews>
    <sheetView workbookViewId="0">
      <selection sqref="A1:G1"/>
    </sheetView>
  </sheetViews>
  <sheetFormatPr baseColWidth="10" defaultRowHeight="14.25" x14ac:dyDescent="0.2"/>
  <cols>
    <col min="1" max="1" width="32.5" style="1" customWidth="1"/>
    <col min="2" max="3" width="11.75" style="1" customWidth="1"/>
    <col min="4" max="4" width="9.375" style="1" customWidth="1"/>
    <col min="5" max="7" width="8.625" style="1" customWidth="1"/>
    <col min="8" max="1024" width="10.125" style="1" customWidth="1"/>
  </cols>
  <sheetData>
    <row r="1" spans="1:7" ht="24.75" customHeight="1" x14ac:dyDescent="0.2">
      <c r="A1" s="173" t="s">
        <v>48</v>
      </c>
      <c r="B1" s="173"/>
      <c r="C1" s="173"/>
      <c r="D1" s="173"/>
      <c r="E1" s="173"/>
      <c r="F1" s="173"/>
      <c r="G1" s="173"/>
    </row>
    <row r="2" spans="1:7" x14ac:dyDescent="0.2">
      <c r="A2" s="174"/>
      <c r="B2" s="175" t="s">
        <v>49</v>
      </c>
      <c r="C2" s="175"/>
      <c r="D2" s="176" t="s">
        <v>50</v>
      </c>
      <c r="E2" s="176"/>
      <c r="F2" s="177" t="s">
        <v>51</v>
      </c>
      <c r="G2" s="177"/>
    </row>
    <row r="3" spans="1:7" x14ac:dyDescent="0.2">
      <c r="A3" s="174"/>
      <c r="B3" s="3">
        <v>2019</v>
      </c>
      <c r="C3" s="3">
        <v>2020</v>
      </c>
      <c r="D3" s="5" t="s">
        <v>52</v>
      </c>
      <c r="E3" s="3" t="s">
        <v>53</v>
      </c>
      <c r="F3" s="3">
        <v>2019</v>
      </c>
      <c r="G3" s="3">
        <v>2020</v>
      </c>
    </row>
    <row r="4" spans="1:7" x14ac:dyDescent="0.2">
      <c r="A4" s="6" t="s">
        <v>54</v>
      </c>
      <c r="B4" s="7">
        <v>4303048.2</v>
      </c>
      <c r="C4" s="7">
        <v>4289093.3020000001</v>
      </c>
      <c r="D4" s="7">
        <f t="shared" ref="D4:D17" si="0">C4-B4</f>
        <v>-13954.898000000045</v>
      </c>
      <c r="E4" s="8">
        <f t="shared" ref="E4:E17" si="1">D4*100/B4</f>
        <v>-0.32430261878079925</v>
      </c>
      <c r="F4" s="8">
        <v>78.8429164447559</v>
      </c>
      <c r="G4" s="8">
        <f t="shared" ref="G4:G16" si="2">C4/5893123.694*100</f>
        <v>72.78132149791594</v>
      </c>
    </row>
    <row r="5" spans="1:7" x14ac:dyDescent="0.2">
      <c r="A5" s="2" t="s">
        <v>55</v>
      </c>
      <c r="B5" s="9">
        <v>4087419.96</v>
      </c>
      <c r="C5" s="10">
        <v>4133631.622</v>
      </c>
      <c r="D5" s="11">
        <f t="shared" si="0"/>
        <v>46211.662000000011</v>
      </c>
      <c r="E5" s="12">
        <f t="shared" si="1"/>
        <v>1.130582676902131</v>
      </c>
      <c r="F5" s="13">
        <v>74.892052192422</v>
      </c>
      <c r="G5" s="12">
        <f t="shared" si="2"/>
        <v>70.14330322318871</v>
      </c>
    </row>
    <row r="6" spans="1:7" ht="11.25" customHeight="1" x14ac:dyDescent="0.2">
      <c r="A6" s="14" t="s">
        <v>56</v>
      </c>
      <c r="B6" s="9">
        <v>1557890</v>
      </c>
      <c r="C6" s="10">
        <v>1676403.4</v>
      </c>
      <c r="D6" s="11">
        <f t="shared" si="0"/>
        <v>118513.39999999991</v>
      </c>
      <c r="E6" s="12">
        <f t="shared" si="1"/>
        <v>7.6073021843647437</v>
      </c>
      <c r="F6" s="13">
        <v>28.544553858383601</v>
      </c>
      <c r="G6" s="12">
        <f t="shared" si="2"/>
        <v>28.446770966419834</v>
      </c>
    </row>
    <row r="7" spans="1:7" ht="11.25" customHeight="1" x14ac:dyDescent="0.2">
      <c r="A7" s="14" t="s">
        <v>57</v>
      </c>
      <c r="B7" s="9">
        <v>2865909.81</v>
      </c>
      <c r="C7" s="10">
        <v>2789219.22</v>
      </c>
      <c r="D7" s="11">
        <f t="shared" si="0"/>
        <v>-76690.589999999851</v>
      </c>
      <c r="E7" s="12">
        <f t="shared" si="1"/>
        <v>-2.6759596457782409</v>
      </c>
      <c r="F7" s="13">
        <v>52.5108428225452</v>
      </c>
      <c r="G7" s="12">
        <f t="shared" si="2"/>
        <v>47.330064068395579</v>
      </c>
    </row>
    <row r="8" spans="1:7" ht="11.25" customHeight="1" x14ac:dyDescent="0.2">
      <c r="A8" s="14" t="s">
        <v>58</v>
      </c>
      <c r="B8" s="9">
        <v>93026.07</v>
      </c>
      <c r="C8" s="10">
        <v>91335.057000000001</v>
      </c>
      <c r="D8" s="11">
        <f t="shared" si="0"/>
        <v>-1691.0130000000063</v>
      </c>
      <c r="E8" s="12">
        <f t="shared" si="1"/>
        <v>-1.8177839824900763</v>
      </c>
      <c r="F8" s="13">
        <v>1.7044769947485201</v>
      </c>
      <c r="G8" s="12">
        <f t="shared" si="2"/>
        <v>1.5498581353890719</v>
      </c>
    </row>
    <row r="9" spans="1:7" ht="11.25" customHeight="1" x14ac:dyDescent="0.2">
      <c r="A9" s="14" t="s">
        <v>59</v>
      </c>
      <c r="B9" s="9">
        <v>-434106</v>
      </c>
      <c r="C9" s="10">
        <v>-427553.18</v>
      </c>
      <c r="D9" s="11">
        <f t="shared" si="0"/>
        <v>6552.820000000007</v>
      </c>
      <c r="E9" s="12">
        <f t="shared" si="1"/>
        <v>-1.509497680290069</v>
      </c>
      <c r="F9" s="13">
        <v>-7.95393904399379</v>
      </c>
      <c r="G9" s="12">
        <f t="shared" si="2"/>
        <v>-7.2551197327710453</v>
      </c>
    </row>
    <row r="10" spans="1:7" ht="11.25" customHeight="1" x14ac:dyDescent="0.2">
      <c r="A10" s="14" t="s">
        <v>60</v>
      </c>
      <c r="B10" s="9">
        <v>4700.08</v>
      </c>
      <c r="C10" s="10">
        <v>4227.125</v>
      </c>
      <c r="D10" s="11">
        <f t="shared" si="0"/>
        <v>-472.95499999999993</v>
      </c>
      <c r="E10" s="12">
        <f t="shared" si="1"/>
        <v>-10.06270106040748</v>
      </c>
      <c r="F10" s="13">
        <v>8.6117560738377993E-2</v>
      </c>
      <c r="G10" s="12">
        <f t="shared" si="2"/>
        <v>7.1729785755282674E-2</v>
      </c>
    </row>
    <row r="11" spans="1:7" x14ac:dyDescent="0.2">
      <c r="A11" s="2" t="s">
        <v>61</v>
      </c>
      <c r="B11" s="9">
        <v>215628.24</v>
      </c>
      <c r="C11" s="10">
        <v>155461.68</v>
      </c>
      <c r="D11" s="11">
        <f t="shared" si="0"/>
        <v>-60166.559999999998</v>
      </c>
      <c r="E11" s="12">
        <f t="shared" si="1"/>
        <v>-27.902912902317436</v>
      </c>
      <c r="F11" s="13">
        <v>3.9508642523339099</v>
      </c>
      <c r="G11" s="12">
        <f t="shared" si="2"/>
        <v>2.6380182747272229</v>
      </c>
    </row>
    <row r="12" spans="1:7" x14ac:dyDescent="0.2">
      <c r="A12" s="14" t="s">
        <v>62</v>
      </c>
      <c r="B12" s="9">
        <v>5500</v>
      </c>
      <c r="C12" s="10">
        <v>200</v>
      </c>
      <c r="D12" s="11">
        <f t="shared" si="0"/>
        <v>-5300</v>
      </c>
      <c r="E12" s="12">
        <f t="shared" si="1"/>
        <v>-96.36363636363636</v>
      </c>
      <c r="F12" s="13">
        <v>0.10077415364442301</v>
      </c>
      <c r="G12" s="12">
        <f t="shared" si="2"/>
        <v>3.3937858830899331E-3</v>
      </c>
    </row>
    <row r="13" spans="1:7" x14ac:dyDescent="0.2">
      <c r="A13" s="14" t="s">
        <v>63</v>
      </c>
      <c r="B13" s="9">
        <v>210128.24</v>
      </c>
      <c r="C13" s="10">
        <v>155261.68</v>
      </c>
      <c r="D13" s="11">
        <f t="shared" si="0"/>
        <v>-54866.559999999998</v>
      </c>
      <c r="E13" s="12">
        <f t="shared" si="1"/>
        <v>-26.110988223191704</v>
      </c>
      <c r="F13" s="13">
        <v>3.8500900986894799</v>
      </c>
      <c r="G13" s="12">
        <f t="shared" si="2"/>
        <v>2.6346244888441328</v>
      </c>
    </row>
    <row r="14" spans="1:7" x14ac:dyDescent="0.2">
      <c r="A14" s="6" t="s">
        <v>64</v>
      </c>
      <c r="B14" s="7">
        <v>1154700.44</v>
      </c>
      <c r="C14" s="7">
        <v>1604030.39</v>
      </c>
      <c r="D14" s="7">
        <f t="shared" si="0"/>
        <v>449329.94999999995</v>
      </c>
      <c r="E14" s="8">
        <f t="shared" si="1"/>
        <v>38.913118453475256</v>
      </c>
      <c r="F14" s="8">
        <v>21.1570835552441</v>
      </c>
      <c r="G14" s="8">
        <f t="shared" si="2"/>
        <v>27.218678468146194</v>
      </c>
    </row>
    <row r="15" spans="1:7" x14ac:dyDescent="0.2">
      <c r="A15" s="2" t="s">
        <v>65</v>
      </c>
      <c r="B15" s="9">
        <v>34855.01</v>
      </c>
      <c r="C15" s="10">
        <v>40630.559999999998</v>
      </c>
      <c r="D15" s="11">
        <f t="shared" si="0"/>
        <v>5775.5499999999956</v>
      </c>
      <c r="E15" s="12">
        <f t="shared" si="1"/>
        <v>16.570214726663384</v>
      </c>
      <c r="F15" s="13">
        <v>0.638633478730527</v>
      </c>
      <c r="G15" s="12">
        <f t="shared" si="2"/>
        <v>0.68945710475019251</v>
      </c>
    </row>
    <row r="16" spans="1:7" x14ac:dyDescent="0.2">
      <c r="A16" s="2" t="s">
        <v>66</v>
      </c>
      <c r="B16" s="9">
        <v>1119845.43</v>
      </c>
      <c r="C16" s="10">
        <v>1563399.83</v>
      </c>
      <c r="D16" s="11">
        <f t="shared" si="0"/>
        <v>443554.40000000014</v>
      </c>
      <c r="E16" s="12">
        <f t="shared" si="1"/>
        <v>39.608537760430039</v>
      </c>
      <c r="F16" s="13">
        <v>20.518450076513599</v>
      </c>
      <c r="G16" s="12">
        <f t="shared" si="2"/>
        <v>26.529221363396012</v>
      </c>
    </row>
    <row r="17" spans="1:7" x14ac:dyDescent="0.2">
      <c r="A17" s="6" t="s">
        <v>67</v>
      </c>
      <c r="B17" s="7">
        <v>5457748.6399999997</v>
      </c>
      <c r="C17" s="7">
        <v>5893123.6919999998</v>
      </c>
      <c r="D17" s="7">
        <f t="shared" si="0"/>
        <v>435375.05200000014</v>
      </c>
      <c r="E17" s="8">
        <f t="shared" si="1"/>
        <v>7.9771913423993857</v>
      </c>
      <c r="F17" s="8">
        <v>100</v>
      </c>
      <c r="G17" s="8">
        <f>+G14+G4</f>
        <v>99.999999966062134</v>
      </c>
    </row>
    <row r="18" spans="1:7" x14ac:dyDescent="0.2">
      <c r="A18" s="172" t="s">
        <v>68</v>
      </c>
      <c r="B18" s="172"/>
      <c r="C18" s="172"/>
      <c r="D18" s="172"/>
      <c r="E18" s="172"/>
      <c r="F18" s="172"/>
      <c r="G18" s="172"/>
    </row>
    <row r="19" spans="1:7" x14ac:dyDescent="0.2">
      <c r="C19" s="15"/>
      <c r="E19" s="16"/>
    </row>
    <row r="20" spans="1:7" x14ac:dyDescent="0.2">
      <c r="C20" s="17"/>
    </row>
    <row r="21" spans="1:7" x14ac:dyDescent="0.2">
      <c r="C21" s="17"/>
    </row>
    <row r="22" spans="1:7" x14ac:dyDescent="0.2">
      <c r="C22" s="18"/>
    </row>
  </sheetData>
  <mergeCells count="6">
    <mergeCell ref="A18:G18"/>
    <mergeCell ref="A1:G1"/>
    <mergeCell ref="A2:A3"/>
    <mergeCell ref="B2:C2"/>
    <mergeCell ref="D2:E2"/>
    <mergeCell ref="F2:G2"/>
  </mergeCells>
  <pageMargins left="0.74999999999999989" right="0.74999999999999989" top="1.393700787401575" bottom="1.393700787401575" header="1" footer="1"/>
  <pageSetup paperSize="0" fitToWidth="0" fitToHeight="0" orientation="portrait" horizontalDpi="0" verticalDpi="0" copies="0"/>
  <headerFooter alignWithMargins="0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>
    <tabColor theme="9"/>
  </sheetPr>
  <dimension ref="A1:AMJ41"/>
  <sheetViews>
    <sheetView topLeftCell="A19" workbookViewId="0">
      <selection sqref="A1:F1"/>
    </sheetView>
  </sheetViews>
  <sheetFormatPr baseColWidth="10" defaultRowHeight="14.25" x14ac:dyDescent="0.2"/>
  <cols>
    <col min="1" max="1" width="36.375" style="97" customWidth="1"/>
    <col min="2" max="1024" width="10.125" style="97" customWidth="1"/>
  </cols>
  <sheetData>
    <row r="1" spans="1:8" x14ac:dyDescent="0.2">
      <c r="A1" s="166" t="s">
        <v>351</v>
      </c>
      <c r="B1" s="166"/>
      <c r="C1" s="166"/>
      <c r="D1" s="166"/>
      <c r="E1" s="166"/>
      <c r="F1" s="166"/>
      <c r="G1" s="166"/>
    </row>
    <row r="2" spans="1:8" ht="67.5" x14ac:dyDescent="0.2">
      <c r="A2" s="130"/>
      <c r="B2" s="120" t="s">
        <v>352</v>
      </c>
      <c r="C2" s="120" t="s">
        <v>353</v>
      </c>
      <c r="D2" s="120" t="s">
        <v>354</v>
      </c>
      <c r="E2" s="120" t="s">
        <v>355</v>
      </c>
      <c r="F2" s="120" t="s">
        <v>356</v>
      </c>
      <c r="G2" s="120" t="s">
        <v>357</v>
      </c>
    </row>
    <row r="3" spans="1:8" x14ac:dyDescent="0.2">
      <c r="A3" s="131" t="s">
        <v>130</v>
      </c>
      <c r="B3" s="132">
        <v>7448745.6284400001</v>
      </c>
      <c r="C3" s="133">
        <f>+C4+C6+C11+C16+C21+C29</f>
        <v>10568578.468527265</v>
      </c>
      <c r="D3" s="134">
        <v>6358.06421824892</v>
      </c>
      <c r="E3" s="134">
        <f t="shared" ref="E3:E33" si="0">C3/1171.543</f>
        <v>9021.0760241214066</v>
      </c>
      <c r="F3" s="134">
        <f>+F4+F6+F11+F16+F21+F29</f>
        <v>15379.140242370329</v>
      </c>
      <c r="G3" s="88">
        <f>+G4+G6+G11+G16+G21+G29</f>
        <v>1.0000000157596804</v>
      </c>
    </row>
    <row r="4" spans="1:8" x14ac:dyDescent="0.2">
      <c r="A4" s="135" t="s">
        <v>183</v>
      </c>
      <c r="B4" s="136">
        <v>1669020.4819499999</v>
      </c>
      <c r="C4" s="136">
        <v>2786426.43691483</v>
      </c>
      <c r="D4" s="137">
        <v>1424.63441969266</v>
      </c>
      <c r="E4" s="137">
        <f t="shared" si="0"/>
        <v>2378.4243829845173</v>
      </c>
      <c r="F4" s="137">
        <f t="shared" ref="F4:F33" si="1">D4+E4</f>
        <v>3803.0588026771775</v>
      </c>
      <c r="G4" s="138">
        <f t="shared" ref="G4:G33" si="2">F4/15379.14</f>
        <v>0.2472868315573678</v>
      </c>
    </row>
    <row r="5" spans="1:8" x14ac:dyDescent="0.2">
      <c r="A5" s="130" t="s">
        <v>183</v>
      </c>
      <c r="B5" s="139">
        <v>1669020.4819499999</v>
      </c>
      <c r="C5" s="139">
        <v>2786426.43691483</v>
      </c>
      <c r="D5" s="140">
        <v>1424.63441969266</v>
      </c>
      <c r="E5" s="140">
        <f t="shared" si="0"/>
        <v>2378.4243829845173</v>
      </c>
      <c r="F5" s="141">
        <f t="shared" si="1"/>
        <v>3803.0588026771775</v>
      </c>
      <c r="G5" s="37">
        <f t="shared" si="2"/>
        <v>0.2472868315573678</v>
      </c>
      <c r="H5" s="97" t="s">
        <v>76</v>
      </c>
    </row>
    <row r="6" spans="1:8" x14ac:dyDescent="0.2">
      <c r="A6" s="135" t="s">
        <v>186</v>
      </c>
      <c r="B6" s="136">
        <v>943617.67154000001</v>
      </c>
      <c r="C6" s="136">
        <f>SUM(C7:C10)</f>
        <v>503287.10292121954</v>
      </c>
      <c r="D6" s="137">
        <v>805.44860200607195</v>
      </c>
      <c r="E6" s="137">
        <f t="shared" si="0"/>
        <v>429.59336782450117</v>
      </c>
      <c r="F6" s="137">
        <f t="shared" si="1"/>
        <v>1235.0419698305732</v>
      </c>
      <c r="G6" s="138">
        <f t="shared" si="2"/>
        <v>8.0306309054379715E-2</v>
      </c>
    </row>
    <row r="7" spans="1:8" x14ac:dyDescent="0.2">
      <c r="A7" s="130" t="s">
        <v>188</v>
      </c>
      <c r="B7" s="139">
        <v>260346.94746</v>
      </c>
      <c r="C7" s="139">
        <v>459461.79447605001</v>
      </c>
      <c r="D7" s="141">
        <v>222.22568651769501</v>
      </c>
      <c r="E7" s="141">
        <f t="shared" si="0"/>
        <v>392.18517329372463</v>
      </c>
      <c r="F7" s="140">
        <f t="shared" si="1"/>
        <v>614.41085981141964</v>
      </c>
      <c r="G7" s="37">
        <f t="shared" si="2"/>
        <v>3.9950924421743979E-2</v>
      </c>
    </row>
    <row r="8" spans="1:8" x14ac:dyDescent="0.2">
      <c r="A8" s="130" t="s">
        <v>190</v>
      </c>
      <c r="B8" s="139">
        <v>190501.75304000001</v>
      </c>
      <c r="C8" s="139">
        <v>11889.1075374467</v>
      </c>
      <c r="D8" s="141">
        <v>162.60756373432301</v>
      </c>
      <c r="E8" s="141">
        <f t="shared" si="0"/>
        <v>10.148246831270129</v>
      </c>
      <c r="F8" s="140">
        <f t="shared" si="1"/>
        <v>172.75581056559315</v>
      </c>
      <c r="G8" s="37">
        <f t="shared" si="2"/>
        <v>1.1233125556148988E-2</v>
      </c>
    </row>
    <row r="9" spans="1:8" x14ac:dyDescent="0.2">
      <c r="A9" s="130" t="s">
        <v>192</v>
      </c>
      <c r="B9" s="139">
        <v>256787.17827</v>
      </c>
      <c r="C9" s="139">
        <v>0</v>
      </c>
      <c r="D9" s="141">
        <v>219.18715597293499</v>
      </c>
      <c r="E9" s="141">
        <f t="shared" si="0"/>
        <v>0</v>
      </c>
      <c r="F9" s="140">
        <f t="shared" si="1"/>
        <v>219.18715597293499</v>
      </c>
      <c r="G9" s="37">
        <f t="shared" si="2"/>
        <v>1.425223750957043E-2</v>
      </c>
    </row>
    <row r="10" spans="1:8" x14ac:dyDescent="0.2">
      <c r="A10" s="130" t="s">
        <v>194</v>
      </c>
      <c r="B10" s="139">
        <v>235981.79272</v>
      </c>
      <c r="C10" s="139">
        <v>31936.200907722799</v>
      </c>
      <c r="D10" s="141">
        <v>201.42819573844099</v>
      </c>
      <c r="E10" s="141">
        <f t="shared" si="0"/>
        <v>27.25994769950638</v>
      </c>
      <c r="F10" s="140">
        <f t="shared" si="1"/>
        <v>228.68814343794736</v>
      </c>
      <c r="G10" s="37">
        <f t="shared" si="2"/>
        <v>1.4870021564141257E-2</v>
      </c>
    </row>
    <row r="11" spans="1:8" x14ac:dyDescent="0.2">
      <c r="A11" s="135" t="s">
        <v>196</v>
      </c>
      <c r="B11" s="136">
        <v>694838.00115999999</v>
      </c>
      <c r="C11" s="136">
        <f>SUM(C12:C15)</f>
        <v>5356577.1718814019</v>
      </c>
      <c r="D11" s="137">
        <v>593.09645583644794</v>
      </c>
      <c r="E11" s="137">
        <f t="shared" si="0"/>
        <v>4572.241199752295</v>
      </c>
      <c r="F11" s="137">
        <f t="shared" si="1"/>
        <v>5165.3376555887426</v>
      </c>
      <c r="G11" s="138">
        <f t="shared" si="2"/>
        <v>0.33586648249438805</v>
      </c>
    </row>
    <row r="12" spans="1:8" x14ac:dyDescent="0.2">
      <c r="A12" s="130" t="s">
        <v>198</v>
      </c>
      <c r="B12" s="139">
        <v>36412.12657</v>
      </c>
      <c r="C12" s="139">
        <v>4368210.93609895</v>
      </c>
      <c r="D12" s="141">
        <v>31.0804866488042</v>
      </c>
      <c r="E12" s="141">
        <f t="shared" si="0"/>
        <v>3728.5963350034531</v>
      </c>
      <c r="F12" s="141">
        <f t="shared" si="1"/>
        <v>3759.6768216522573</v>
      </c>
      <c r="G12" s="37">
        <f t="shared" si="2"/>
        <v>0.24446599885638973</v>
      </c>
    </row>
    <row r="13" spans="1:8" x14ac:dyDescent="0.2">
      <c r="A13" s="130" t="s">
        <v>200</v>
      </c>
      <c r="B13" s="139">
        <v>16038.97624</v>
      </c>
      <c r="C13" s="139">
        <v>355243.56146532099</v>
      </c>
      <c r="D13" s="141">
        <v>13.6904716600244</v>
      </c>
      <c r="E13" s="141">
        <f t="shared" si="0"/>
        <v>303.22707870331777</v>
      </c>
      <c r="F13" s="141">
        <f t="shared" si="1"/>
        <v>316.91755036334217</v>
      </c>
      <c r="G13" s="37">
        <f t="shared" si="2"/>
        <v>2.0606974795947121E-2</v>
      </c>
    </row>
    <row r="14" spans="1:8" x14ac:dyDescent="0.2">
      <c r="A14" s="130" t="s">
        <v>358</v>
      </c>
      <c r="B14" s="139">
        <v>515531.21587999997</v>
      </c>
      <c r="C14" s="139">
        <v>491993.158390389</v>
      </c>
      <c r="D14" s="141">
        <v>440.04463846397402</v>
      </c>
      <c r="E14" s="141">
        <f t="shared" si="0"/>
        <v>419.95313734996415</v>
      </c>
      <c r="F14" s="141">
        <f t="shared" si="1"/>
        <v>859.99777581393823</v>
      </c>
      <c r="G14" s="37">
        <f t="shared" si="2"/>
        <v>5.5919757269518207E-2</v>
      </c>
    </row>
    <row r="15" spans="1:8" x14ac:dyDescent="0.2">
      <c r="A15" s="130" t="s">
        <v>359</v>
      </c>
      <c r="B15" s="139">
        <v>126855.68246</v>
      </c>
      <c r="C15" s="139">
        <v>141129.51592674199</v>
      </c>
      <c r="D15" s="141">
        <v>108.280859055109</v>
      </c>
      <c r="E15" s="141">
        <f t="shared" si="0"/>
        <v>120.46464869555962</v>
      </c>
      <c r="F15" s="141">
        <f t="shared" si="1"/>
        <v>228.74550775066862</v>
      </c>
      <c r="G15" s="37">
        <f t="shared" si="2"/>
        <v>1.4873751571977928E-2</v>
      </c>
    </row>
    <row r="16" spans="1:8" x14ac:dyDescent="0.2">
      <c r="A16" s="135" t="s">
        <v>206</v>
      </c>
      <c r="B16" s="136">
        <v>3076390.50385</v>
      </c>
      <c r="C16" s="136">
        <f>SUM(C17:C20)</f>
        <v>189895.63617364893</v>
      </c>
      <c r="D16" s="137">
        <v>2625.9305069041402</v>
      </c>
      <c r="E16" s="137">
        <f t="shared" si="0"/>
        <v>162.09019743504842</v>
      </c>
      <c r="F16" s="137">
        <f t="shared" si="1"/>
        <v>2788.0207043391888</v>
      </c>
      <c r="G16" s="138">
        <f t="shared" si="2"/>
        <v>0.18128586542155081</v>
      </c>
    </row>
    <row r="17" spans="1:7" x14ac:dyDescent="0.2">
      <c r="A17" s="130" t="s">
        <v>208</v>
      </c>
      <c r="B17" s="139">
        <v>1720495.4956400001</v>
      </c>
      <c r="C17" s="139">
        <v>105011.253105875</v>
      </c>
      <c r="D17" s="140">
        <v>1468.57221257777</v>
      </c>
      <c r="E17" s="140">
        <f t="shared" si="0"/>
        <v>89.634996842518802</v>
      </c>
      <c r="F17" s="140">
        <f t="shared" si="1"/>
        <v>1558.2072094202888</v>
      </c>
      <c r="G17" s="37">
        <f t="shared" si="2"/>
        <v>0.10131952823241669</v>
      </c>
    </row>
    <row r="18" spans="1:7" x14ac:dyDescent="0.2">
      <c r="A18" s="130" t="s">
        <v>210</v>
      </c>
      <c r="B18" s="139">
        <v>1087710.26364</v>
      </c>
      <c r="C18" s="139">
        <v>63746.295780679597</v>
      </c>
      <c r="D18" s="140">
        <v>928.44245891102605</v>
      </c>
      <c r="E18" s="140">
        <f t="shared" si="0"/>
        <v>54.412254420605649</v>
      </c>
      <c r="F18" s="140">
        <f t="shared" si="1"/>
        <v>982.85471333163173</v>
      </c>
      <c r="G18" s="37">
        <f t="shared" si="2"/>
        <v>6.390830133099977E-2</v>
      </c>
    </row>
    <row r="19" spans="1:7" x14ac:dyDescent="0.2">
      <c r="A19" s="130" t="s">
        <v>212</v>
      </c>
      <c r="B19" s="139">
        <v>170343.87781000001</v>
      </c>
      <c r="C19" s="139">
        <v>16353.302893657299</v>
      </c>
      <c r="D19" s="140">
        <v>145.40130222279501</v>
      </c>
      <c r="E19" s="140">
        <f t="shared" si="0"/>
        <v>13.958773082727054</v>
      </c>
      <c r="F19" s="140">
        <f t="shared" si="1"/>
        <v>159.36007530552206</v>
      </c>
      <c r="G19" s="37">
        <f t="shared" si="2"/>
        <v>1.0362092763673525E-2</v>
      </c>
    </row>
    <row r="20" spans="1:7" x14ac:dyDescent="0.2">
      <c r="A20" s="130" t="s">
        <v>214</v>
      </c>
      <c r="B20" s="139">
        <v>97840.866729999994</v>
      </c>
      <c r="C20" s="139">
        <v>4784.7843934370303</v>
      </c>
      <c r="D20" s="140">
        <v>83.514533166943096</v>
      </c>
      <c r="E20" s="140">
        <f t="shared" si="0"/>
        <v>4.0841730891969226</v>
      </c>
      <c r="F20" s="140">
        <f t="shared" si="1"/>
        <v>87.598706256140019</v>
      </c>
      <c r="G20" s="37">
        <f t="shared" si="2"/>
        <v>5.6959430927958276E-3</v>
      </c>
    </row>
    <row r="21" spans="1:7" x14ac:dyDescent="0.2">
      <c r="A21" s="135" t="s">
        <v>216</v>
      </c>
      <c r="B21" s="136">
        <v>585711.48843999999</v>
      </c>
      <c r="C21" s="136">
        <f>SUM(C22:C28)</f>
        <v>702949.39218457125</v>
      </c>
      <c r="D21" s="137">
        <v>499.948775623259</v>
      </c>
      <c r="E21" s="137">
        <f t="shared" si="0"/>
        <v>600.02013770264625</v>
      </c>
      <c r="F21" s="137">
        <f t="shared" si="1"/>
        <v>1099.9689133259053</v>
      </c>
      <c r="G21" s="138">
        <f t="shared" si="2"/>
        <v>7.1523434556542517E-2</v>
      </c>
    </row>
    <row r="22" spans="1:7" x14ac:dyDescent="0.2">
      <c r="A22" s="130" t="s">
        <v>218</v>
      </c>
      <c r="B22" s="139">
        <v>63400.204949999999</v>
      </c>
      <c r="C22" s="139">
        <v>153240.556407317</v>
      </c>
      <c r="D22" s="140">
        <v>54.116839885518502</v>
      </c>
      <c r="E22" s="140">
        <f t="shared" si="0"/>
        <v>130.80233197357418</v>
      </c>
      <c r="F22" s="140">
        <f t="shared" si="1"/>
        <v>184.91917185909267</v>
      </c>
      <c r="G22" s="37">
        <f t="shared" si="2"/>
        <v>1.2024025521524135E-2</v>
      </c>
    </row>
    <row r="23" spans="1:7" x14ac:dyDescent="0.2">
      <c r="A23" s="130" t="s">
        <v>220</v>
      </c>
      <c r="B23" s="139">
        <v>49780.968489999999</v>
      </c>
      <c r="C23" s="139">
        <v>142430.27894223001</v>
      </c>
      <c r="D23" s="140">
        <v>42.491797987781901</v>
      </c>
      <c r="E23" s="140">
        <f t="shared" si="0"/>
        <v>121.57494769055</v>
      </c>
      <c r="F23" s="140">
        <f t="shared" si="1"/>
        <v>164.0667456783319</v>
      </c>
      <c r="G23" s="37">
        <f t="shared" si="2"/>
        <v>1.0668135258430049E-2</v>
      </c>
    </row>
    <row r="24" spans="1:7" x14ac:dyDescent="0.2">
      <c r="A24" s="130" t="s">
        <v>222</v>
      </c>
      <c r="B24" s="139">
        <v>76725.746239999993</v>
      </c>
      <c r="C24" s="139">
        <v>22126.922390725998</v>
      </c>
      <c r="D24" s="140">
        <v>65.491190882451605</v>
      </c>
      <c r="E24" s="140">
        <f t="shared" si="0"/>
        <v>18.886991250620763</v>
      </c>
      <c r="F24" s="140">
        <f t="shared" si="1"/>
        <v>84.378182133072372</v>
      </c>
      <c r="G24" s="37">
        <f t="shared" si="2"/>
        <v>5.4865344962769296E-3</v>
      </c>
    </row>
    <row r="25" spans="1:7" x14ac:dyDescent="0.2">
      <c r="A25" s="130" t="s">
        <v>224</v>
      </c>
      <c r="B25" s="139">
        <v>171532.79741999999</v>
      </c>
      <c r="C25" s="139">
        <v>53052.160352737403</v>
      </c>
      <c r="D25" s="140">
        <v>146.416134465402</v>
      </c>
      <c r="E25" s="140">
        <f t="shared" si="0"/>
        <v>45.284006095156052</v>
      </c>
      <c r="F25" s="140">
        <f t="shared" si="1"/>
        <v>191.70014056055805</v>
      </c>
      <c r="G25" s="37">
        <f t="shared" si="2"/>
        <v>1.2464945410507874E-2</v>
      </c>
    </row>
    <row r="26" spans="1:7" x14ac:dyDescent="0.2">
      <c r="A26" s="130" t="s">
        <v>226</v>
      </c>
      <c r="B26" s="139">
        <v>145624.80598</v>
      </c>
      <c r="C26" s="139">
        <v>141953.35511069701</v>
      </c>
      <c r="D26" s="140">
        <v>124.301716607926</v>
      </c>
      <c r="E26" s="140">
        <f t="shared" si="0"/>
        <v>121.1678573562362</v>
      </c>
      <c r="F26" s="140">
        <f t="shared" si="1"/>
        <v>245.46957396416218</v>
      </c>
      <c r="G26" s="37">
        <f t="shared" si="2"/>
        <v>1.5961202899782576E-2</v>
      </c>
    </row>
    <row r="27" spans="1:7" x14ac:dyDescent="0.2">
      <c r="A27" s="130" t="s">
        <v>360</v>
      </c>
      <c r="B27" s="139">
        <v>69066.557019999993</v>
      </c>
      <c r="C27" s="139">
        <v>174357.038778886</v>
      </c>
      <c r="D27" s="140">
        <v>58.953497242525501</v>
      </c>
      <c r="E27" s="140">
        <f t="shared" si="0"/>
        <v>148.82683672633954</v>
      </c>
      <c r="F27" s="140">
        <f t="shared" si="1"/>
        <v>207.78033396886502</v>
      </c>
      <c r="G27" s="37">
        <f t="shared" si="2"/>
        <v>1.3510530105640824E-2</v>
      </c>
    </row>
    <row r="28" spans="1:7" x14ac:dyDescent="0.2">
      <c r="A28" s="130" t="s">
        <v>230</v>
      </c>
      <c r="B28" s="139">
        <v>9580.4083499999997</v>
      </c>
      <c r="C28" s="139">
        <v>15789.0802019779</v>
      </c>
      <c r="D28" s="141">
        <v>8.1775985601894305</v>
      </c>
      <c r="E28" s="141">
        <f t="shared" si="0"/>
        <v>13.477166610169581</v>
      </c>
      <c r="F28" s="141">
        <f t="shared" si="1"/>
        <v>21.654765170359013</v>
      </c>
      <c r="G28" s="37">
        <f t="shared" si="2"/>
        <v>1.4080608649351663E-3</v>
      </c>
    </row>
    <row r="29" spans="1:7" x14ac:dyDescent="0.2">
      <c r="A29" s="135" t="s">
        <v>232</v>
      </c>
      <c r="B29" s="136">
        <v>479167.48149999999</v>
      </c>
      <c r="C29" s="136">
        <f>SUM(C30:C33)</f>
        <v>1029442.7284515954</v>
      </c>
      <c r="D29" s="137">
        <v>409.005458186341</v>
      </c>
      <c r="E29" s="137">
        <f t="shared" si="0"/>
        <v>878.70673842240149</v>
      </c>
      <c r="F29" s="137">
        <f t="shared" si="1"/>
        <v>1287.7121966087425</v>
      </c>
      <c r="G29" s="138">
        <f t="shared" si="2"/>
        <v>8.3731092675451452E-2</v>
      </c>
    </row>
    <row r="30" spans="1:7" x14ac:dyDescent="0.2">
      <c r="A30" s="130" t="s">
        <v>234</v>
      </c>
      <c r="B30" s="139">
        <v>69193.591889999996</v>
      </c>
      <c r="C30" s="139">
        <v>16825.4359476338</v>
      </c>
      <c r="D30" s="140">
        <v>59.061931051613101</v>
      </c>
      <c r="E30" s="140">
        <f t="shared" si="0"/>
        <v>14.361774128336561</v>
      </c>
      <c r="F30" s="140">
        <f t="shared" si="1"/>
        <v>73.423705179949664</v>
      </c>
      <c r="G30" s="37">
        <f t="shared" si="2"/>
        <v>4.77423998870871E-3</v>
      </c>
    </row>
    <row r="31" spans="1:7" x14ac:dyDescent="0.2">
      <c r="A31" s="130" t="s">
        <v>236</v>
      </c>
      <c r="B31" s="139">
        <v>299325.27929999999</v>
      </c>
      <c r="C31" s="139">
        <v>647857.40842108103</v>
      </c>
      <c r="D31" s="140">
        <v>255.496622232389</v>
      </c>
      <c r="E31" s="140">
        <f t="shared" si="0"/>
        <v>552.99498901967843</v>
      </c>
      <c r="F31" s="140">
        <f t="shared" si="1"/>
        <v>808.4916112520674</v>
      </c>
      <c r="G31" s="37">
        <f t="shared" si="2"/>
        <v>5.2570664630926529E-2</v>
      </c>
    </row>
    <row r="32" spans="1:7" x14ac:dyDescent="0.2">
      <c r="A32" s="130" t="s">
        <v>238</v>
      </c>
      <c r="B32" s="139">
        <v>107258.62536000001</v>
      </c>
      <c r="C32" s="139">
        <v>34306.990410983599</v>
      </c>
      <c r="D32" s="140">
        <v>91.553297966869295</v>
      </c>
      <c r="E32" s="140">
        <f t="shared" si="0"/>
        <v>29.283594721647948</v>
      </c>
      <c r="F32" s="140">
        <f t="shared" si="1"/>
        <v>120.83689268851724</v>
      </c>
      <c r="G32" s="37">
        <f t="shared" si="2"/>
        <v>7.8571944002406666E-3</v>
      </c>
    </row>
    <row r="33" spans="1:7" x14ac:dyDescent="0.2">
      <c r="A33" s="130" t="s">
        <v>240</v>
      </c>
      <c r="B33" s="139">
        <v>3389.9849899999999</v>
      </c>
      <c r="C33" s="139">
        <v>330452.89367189701</v>
      </c>
      <c r="D33" s="140">
        <v>2.89360696961187</v>
      </c>
      <c r="E33" s="140">
        <f t="shared" si="0"/>
        <v>282.06638055273862</v>
      </c>
      <c r="F33" s="140">
        <f t="shared" si="1"/>
        <v>284.9599875223505</v>
      </c>
      <c r="G33" s="37">
        <f t="shared" si="2"/>
        <v>1.8528993657795593E-2</v>
      </c>
    </row>
    <row r="34" spans="1:7" x14ac:dyDescent="0.2">
      <c r="A34" s="179" t="s">
        <v>269</v>
      </c>
      <c r="B34" s="179"/>
      <c r="C34" s="179"/>
      <c r="D34" s="179"/>
      <c r="E34" s="179"/>
      <c r="F34" s="179"/>
      <c r="G34" s="179"/>
    </row>
    <row r="35" spans="1:7" x14ac:dyDescent="0.2">
      <c r="A35" s="200"/>
      <c r="B35" s="200"/>
      <c r="C35" s="200"/>
      <c r="D35" s="200"/>
      <c r="E35" s="200"/>
      <c r="F35" s="200"/>
      <c r="G35" s="200"/>
    </row>
    <row r="36" spans="1:7" ht="18" x14ac:dyDescent="0.25">
      <c r="A36" s="159"/>
      <c r="B36" s="159"/>
      <c r="C36" s="160"/>
      <c r="D36" s="161"/>
      <c r="E36" s="159"/>
      <c r="F36" s="159"/>
    </row>
    <row r="37" spans="1:7" x14ac:dyDescent="0.2">
      <c r="A37" s="159"/>
      <c r="B37" s="159"/>
      <c r="C37" s="159"/>
      <c r="D37" s="159"/>
      <c r="E37" s="159"/>
      <c r="F37" s="159"/>
    </row>
    <row r="38" spans="1:7" x14ac:dyDescent="0.2">
      <c r="A38" s="159"/>
      <c r="B38" s="159"/>
      <c r="C38" s="159"/>
      <c r="D38" s="159"/>
      <c r="E38" s="159"/>
      <c r="F38" s="159"/>
    </row>
    <row r="39" spans="1:7" x14ac:dyDescent="0.2">
      <c r="A39" s="159"/>
      <c r="B39" s="159"/>
      <c r="C39" s="159"/>
      <c r="D39" s="159"/>
      <c r="E39" s="159"/>
      <c r="F39" s="159"/>
    </row>
    <row r="40" spans="1:7" x14ac:dyDescent="0.2">
      <c r="A40" s="159"/>
      <c r="B40" s="159"/>
      <c r="C40" s="159"/>
      <c r="D40" s="159"/>
      <c r="E40" s="159"/>
      <c r="F40" s="159"/>
    </row>
    <row r="41" spans="1:7" x14ac:dyDescent="0.2">
      <c r="A41" s="159"/>
      <c r="B41" s="159"/>
      <c r="C41" s="159"/>
      <c r="D41" s="159"/>
      <c r="E41" s="159"/>
      <c r="F41" s="159"/>
    </row>
  </sheetData>
  <mergeCells count="3">
    <mergeCell ref="A1:G1"/>
    <mergeCell ref="A34:G34"/>
    <mergeCell ref="A35:G35"/>
  </mergeCells>
  <pageMargins left="0.55157480314960616" right="0" top="1.3775590551181103" bottom="1.3775590551181103" header="0.98385826771653528" footer="0.98385826771653528"/>
  <pageSetup paperSize="0" fitToWidth="0" fitToHeight="0" orientation="portrait" horizontalDpi="0" verticalDpi="0" copies="0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tabColor theme="9"/>
  </sheetPr>
  <dimension ref="A1:AMJ34"/>
  <sheetViews>
    <sheetView topLeftCell="A7" workbookViewId="0">
      <selection sqref="A1:F1"/>
    </sheetView>
  </sheetViews>
  <sheetFormatPr baseColWidth="10" defaultRowHeight="14.25" x14ac:dyDescent="0.2"/>
  <cols>
    <col min="1" max="1" width="35.375" style="97" customWidth="1"/>
    <col min="2" max="6" width="10" style="97" customWidth="1"/>
    <col min="7" max="1024" width="10.125" style="97" customWidth="1"/>
  </cols>
  <sheetData>
    <row r="1" spans="1:7" x14ac:dyDescent="0.2">
      <c r="A1" s="166" t="s">
        <v>361</v>
      </c>
      <c r="B1" s="166"/>
      <c r="C1" s="166"/>
      <c r="D1" s="166"/>
      <c r="E1" s="166"/>
      <c r="F1" s="166"/>
    </row>
    <row r="2" spans="1:7" ht="67.5" x14ac:dyDescent="0.2">
      <c r="A2" s="130"/>
      <c r="B2" s="120" t="s">
        <v>362</v>
      </c>
      <c r="C2" s="120" t="s">
        <v>363</v>
      </c>
      <c r="D2" s="120" t="s">
        <v>364</v>
      </c>
      <c r="E2" s="120" t="s">
        <v>180</v>
      </c>
      <c r="F2" s="120" t="s">
        <v>365</v>
      </c>
    </row>
    <row r="3" spans="1:7" x14ac:dyDescent="0.2">
      <c r="A3" s="131" t="s">
        <v>130</v>
      </c>
      <c r="B3" s="132">
        <f>B4+B6+B11+B16+B21+B29</f>
        <v>5424799.6310000001</v>
      </c>
      <c r="C3" s="132">
        <f>C4+C6+C11+C16+C21+C29</f>
        <v>2023945.9974400001</v>
      </c>
      <c r="D3" s="132">
        <f>D4+D6+D11+D16+D21+D29</f>
        <v>7448745.6284400001</v>
      </c>
      <c r="E3" s="142">
        <f t="shared" ref="E3:E33" si="0">D3/7448746</f>
        <v>0.9999999501177782</v>
      </c>
      <c r="F3" s="143">
        <f>F4+F6+F11+F16+F21+F29</f>
        <v>6358.0642182489246</v>
      </c>
    </row>
    <row r="4" spans="1:7" x14ac:dyDescent="0.2">
      <c r="A4" s="135" t="s">
        <v>183</v>
      </c>
      <c r="B4" s="136">
        <v>1620265.8419999999</v>
      </c>
      <c r="C4" s="136">
        <v>48754.639949999997</v>
      </c>
      <c r="D4" s="136">
        <f t="shared" ref="D4:D33" si="1">B4+C4</f>
        <v>1669020.4819499999</v>
      </c>
      <c r="E4" s="144">
        <f t="shared" si="0"/>
        <v>0.22406731038351957</v>
      </c>
      <c r="F4" s="137">
        <f t="shared" ref="F4:F33" si="2">D4*1000/1171543</f>
        <v>1424.6344196926616</v>
      </c>
    </row>
    <row r="5" spans="1:7" x14ac:dyDescent="0.2">
      <c r="A5" s="130" t="s">
        <v>183</v>
      </c>
      <c r="B5" s="139">
        <v>1620265.8419999999</v>
      </c>
      <c r="C5" s="139">
        <v>48754.639949999997</v>
      </c>
      <c r="D5" s="139">
        <f t="shared" si="1"/>
        <v>1669020.4819499999</v>
      </c>
      <c r="E5" s="145">
        <f t="shared" si="0"/>
        <v>0.22406731038351957</v>
      </c>
      <c r="F5" s="141">
        <f t="shared" si="2"/>
        <v>1424.6344196926616</v>
      </c>
      <c r="G5" s="16"/>
    </row>
    <row r="6" spans="1:7" x14ac:dyDescent="0.2">
      <c r="A6" s="135" t="s">
        <v>186</v>
      </c>
      <c r="B6" s="136">
        <f>SUM(B7:B10)</f>
        <v>233476.62599999999</v>
      </c>
      <c r="C6" s="136">
        <v>710141.04553999996</v>
      </c>
      <c r="D6" s="136">
        <f t="shared" si="1"/>
        <v>943617.67154000001</v>
      </c>
      <c r="E6" s="144">
        <f t="shared" si="0"/>
        <v>0.12668141342717285</v>
      </c>
      <c r="F6" s="137">
        <f t="shared" si="2"/>
        <v>805.44860200607229</v>
      </c>
    </row>
    <row r="7" spans="1:7" x14ac:dyDescent="0.2">
      <c r="A7" s="130" t="s">
        <v>188</v>
      </c>
      <c r="B7" s="139">
        <v>12906.01</v>
      </c>
      <c r="C7" s="139">
        <v>247440.93745999999</v>
      </c>
      <c r="D7" s="139">
        <f t="shared" si="1"/>
        <v>260346.94746</v>
      </c>
      <c r="E7" s="145">
        <f t="shared" si="0"/>
        <v>3.4951782146954671E-2</v>
      </c>
      <c r="F7" s="141">
        <f t="shared" si="2"/>
        <v>222.22568651769504</v>
      </c>
    </row>
    <row r="8" spans="1:7" x14ac:dyDescent="0.2">
      <c r="A8" s="130" t="s">
        <v>190</v>
      </c>
      <c r="B8" s="139">
        <v>64720.392</v>
      </c>
      <c r="C8" s="139">
        <v>125781.36104</v>
      </c>
      <c r="D8" s="139">
        <f t="shared" si="1"/>
        <v>190501.75304000001</v>
      </c>
      <c r="E8" s="145">
        <f t="shared" si="0"/>
        <v>2.5575009946640685E-2</v>
      </c>
      <c r="F8" s="141">
        <f t="shared" si="2"/>
        <v>162.60756373432304</v>
      </c>
    </row>
    <row r="9" spans="1:7" x14ac:dyDescent="0.2">
      <c r="A9" s="130" t="s">
        <v>192</v>
      </c>
      <c r="B9" s="139">
        <v>2543.009</v>
      </c>
      <c r="C9" s="139">
        <v>254244.16927000001</v>
      </c>
      <c r="D9" s="139">
        <f t="shared" si="1"/>
        <v>256787.17827</v>
      </c>
      <c r="E9" s="145">
        <f t="shared" si="0"/>
        <v>3.4473880337710539E-2</v>
      </c>
      <c r="F9" s="141">
        <f t="shared" si="2"/>
        <v>219.18715597293485</v>
      </c>
    </row>
    <row r="10" spans="1:7" x14ac:dyDescent="0.2">
      <c r="A10" s="130" t="s">
        <v>194</v>
      </c>
      <c r="B10" s="139">
        <v>153307.215</v>
      </c>
      <c r="C10" s="139">
        <v>82674.577720000001</v>
      </c>
      <c r="D10" s="139">
        <f t="shared" si="1"/>
        <v>235981.79272</v>
      </c>
      <c r="E10" s="145">
        <f t="shared" si="0"/>
        <v>3.1680740989154417E-2</v>
      </c>
      <c r="F10" s="141">
        <f t="shared" si="2"/>
        <v>201.42819573844068</v>
      </c>
    </row>
    <row r="11" spans="1:7" x14ac:dyDescent="0.2">
      <c r="A11" s="135" t="s">
        <v>196</v>
      </c>
      <c r="B11" s="136">
        <f>SUM(B12:B15)</f>
        <v>316364.10800000001</v>
      </c>
      <c r="C11" s="136">
        <v>378473.89315999998</v>
      </c>
      <c r="D11" s="136">
        <f t="shared" si="1"/>
        <v>694838.00115999999</v>
      </c>
      <c r="E11" s="144">
        <f t="shared" si="0"/>
        <v>9.3282547311990496E-2</v>
      </c>
      <c r="F11" s="137">
        <f t="shared" si="2"/>
        <v>593.09645583644817</v>
      </c>
    </row>
    <row r="12" spans="1:7" x14ac:dyDescent="0.2">
      <c r="A12" s="130" t="s">
        <v>198</v>
      </c>
      <c r="B12" s="139">
        <v>33284.294000000002</v>
      </c>
      <c r="C12" s="139">
        <v>3127.83257</v>
      </c>
      <c r="D12" s="139">
        <f t="shared" si="1"/>
        <v>36412.12657</v>
      </c>
      <c r="E12" s="145">
        <f t="shared" si="0"/>
        <v>4.8883565864643527E-3</v>
      </c>
      <c r="F12" s="141">
        <f t="shared" si="2"/>
        <v>31.080486648804182</v>
      </c>
    </row>
    <row r="13" spans="1:7" x14ac:dyDescent="0.2">
      <c r="A13" s="130" t="s">
        <v>200</v>
      </c>
      <c r="B13" s="139">
        <v>12704.448</v>
      </c>
      <c r="C13" s="139">
        <v>3334.5282400000001</v>
      </c>
      <c r="D13" s="139">
        <f t="shared" si="1"/>
        <v>16038.97624</v>
      </c>
      <c r="E13" s="145">
        <f t="shared" si="0"/>
        <v>2.153245155627538E-3</v>
      </c>
      <c r="F13" s="141">
        <f t="shared" si="2"/>
        <v>13.69047166002443</v>
      </c>
    </row>
    <row r="14" spans="1:7" x14ac:dyDescent="0.2">
      <c r="A14" s="130" t="s">
        <v>358</v>
      </c>
      <c r="B14" s="139">
        <v>161620.23699999999</v>
      </c>
      <c r="C14" s="139">
        <v>353910.97888000001</v>
      </c>
      <c r="D14" s="139">
        <f t="shared" si="1"/>
        <v>515531.21588000003</v>
      </c>
      <c r="E14" s="145">
        <f t="shared" si="0"/>
        <v>6.9210470578537658E-2</v>
      </c>
      <c r="F14" s="141">
        <f t="shared" si="2"/>
        <v>440.04463846397448</v>
      </c>
    </row>
    <row r="15" spans="1:7" x14ac:dyDescent="0.2">
      <c r="A15" s="130" t="s">
        <v>359</v>
      </c>
      <c r="B15" s="139">
        <v>108755.129</v>
      </c>
      <c r="C15" s="139">
        <v>18100.553459999999</v>
      </c>
      <c r="D15" s="139">
        <f t="shared" si="1"/>
        <v>126855.68246</v>
      </c>
      <c r="E15" s="145">
        <f t="shared" si="0"/>
        <v>1.7030474990018453E-2</v>
      </c>
      <c r="F15" s="141">
        <f t="shared" si="2"/>
        <v>108.28085905510936</v>
      </c>
    </row>
    <row r="16" spans="1:7" x14ac:dyDescent="0.2">
      <c r="A16" s="135" t="s">
        <v>206</v>
      </c>
      <c r="B16" s="136">
        <f>SUM(B17:B20)</f>
        <v>2775081.676</v>
      </c>
      <c r="C16" s="136">
        <v>301308.82785</v>
      </c>
      <c r="D16" s="136">
        <f t="shared" si="1"/>
        <v>3076390.50385</v>
      </c>
      <c r="E16" s="144">
        <f t="shared" si="0"/>
        <v>0.41300784103122862</v>
      </c>
      <c r="F16" s="137">
        <f t="shared" si="2"/>
        <v>2625.9305069041425</v>
      </c>
    </row>
    <row r="17" spans="1:6" x14ac:dyDescent="0.2">
      <c r="A17" s="130" t="s">
        <v>208</v>
      </c>
      <c r="B17" s="139">
        <v>1703217.8089999999</v>
      </c>
      <c r="C17" s="139">
        <v>17277.68664</v>
      </c>
      <c r="D17" s="139">
        <f t="shared" si="1"/>
        <v>1720495.4956399999</v>
      </c>
      <c r="E17" s="145">
        <f t="shared" si="0"/>
        <v>0.2309778713947287</v>
      </c>
      <c r="F17" s="141">
        <f t="shared" si="2"/>
        <v>1468.5722125777713</v>
      </c>
    </row>
    <row r="18" spans="1:6" x14ac:dyDescent="0.2">
      <c r="A18" s="130" t="s">
        <v>210</v>
      </c>
      <c r="B18" s="139">
        <v>1005274.27</v>
      </c>
      <c r="C18" s="139">
        <v>82435.993640000001</v>
      </c>
      <c r="D18" s="139">
        <f t="shared" si="1"/>
        <v>1087710.26364</v>
      </c>
      <c r="E18" s="145">
        <f t="shared" si="0"/>
        <v>0.1460259570725059</v>
      </c>
      <c r="F18" s="141">
        <f t="shared" si="2"/>
        <v>928.44245891102594</v>
      </c>
    </row>
    <row r="19" spans="1:6" x14ac:dyDescent="0.2">
      <c r="A19" s="130" t="s">
        <v>212</v>
      </c>
      <c r="B19" s="139">
        <v>46313.563000000002</v>
      </c>
      <c r="C19" s="139">
        <v>124030.31481</v>
      </c>
      <c r="D19" s="139">
        <f t="shared" si="1"/>
        <v>170343.87781000001</v>
      </c>
      <c r="E19" s="145">
        <f t="shared" si="0"/>
        <v>2.2868799367034398E-2</v>
      </c>
      <c r="F19" s="141">
        <f t="shared" si="2"/>
        <v>145.40130222279507</v>
      </c>
    </row>
    <row r="20" spans="1:6" x14ac:dyDescent="0.2">
      <c r="A20" s="130" t="s">
        <v>214</v>
      </c>
      <c r="B20" s="139">
        <v>20276.034</v>
      </c>
      <c r="C20" s="139">
        <v>77564.832729999995</v>
      </c>
      <c r="D20" s="139">
        <f t="shared" si="1"/>
        <v>97840.866729999994</v>
      </c>
      <c r="E20" s="145">
        <f t="shared" si="0"/>
        <v>1.3135213192932071E-2</v>
      </c>
      <c r="F20" s="141">
        <f t="shared" si="2"/>
        <v>83.514533166943067</v>
      </c>
    </row>
    <row r="21" spans="1:6" x14ac:dyDescent="0.2">
      <c r="A21" s="135" t="s">
        <v>216</v>
      </c>
      <c r="B21" s="136">
        <f>SUM(B22:B28)</f>
        <v>326825.25000000006</v>
      </c>
      <c r="C21" s="136">
        <v>258886.23843999999</v>
      </c>
      <c r="D21" s="136">
        <f t="shared" si="1"/>
        <v>585711.48843999999</v>
      </c>
      <c r="E21" s="144">
        <f t="shared" si="0"/>
        <v>7.8632227282283487E-2</v>
      </c>
      <c r="F21" s="137">
        <f t="shared" si="2"/>
        <v>499.94877562325917</v>
      </c>
    </row>
    <row r="22" spans="1:6" x14ac:dyDescent="0.2">
      <c r="A22" s="130" t="s">
        <v>218</v>
      </c>
      <c r="B22" s="139">
        <v>53840.841</v>
      </c>
      <c r="C22" s="139">
        <v>9559.3639500000008</v>
      </c>
      <c r="D22" s="139">
        <f t="shared" si="1"/>
        <v>63400.204949999999</v>
      </c>
      <c r="E22" s="145">
        <f t="shared" si="0"/>
        <v>8.5115273027164574E-3</v>
      </c>
      <c r="F22" s="141">
        <f t="shared" si="2"/>
        <v>54.116839885518502</v>
      </c>
    </row>
    <row r="23" spans="1:6" x14ac:dyDescent="0.2">
      <c r="A23" s="130" t="s">
        <v>220</v>
      </c>
      <c r="B23" s="139">
        <v>33714.857000000004</v>
      </c>
      <c r="C23" s="139">
        <v>16066.111489999999</v>
      </c>
      <c r="D23" s="139">
        <f t="shared" si="1"/>
        <v>49780.968489999999</v>
      </c>
      <c r="E23" s="145">
        <f t="shared" si="0"/>
        <v>6.6831341127754924E-3</v>
      </c>
      <c r="F23" s="141">
        <f t="shared" si="2"/>
        <v>42.491797987781929</v>
      </c>
    </row>
    <row r="24" spans="1:6" x14ac:dyDescent="0.2">
      <c r="A24" s="130" t="s">
        <v>222</v>
      </c>
      <c r="B24" s="139">
        <v>27156.565999999999</v>
      </c>
      <c r="C24" s="139">
        <v>49569.180240000002</v>
      </c>
      <c r="D24" s="139">
        <f t="shared" si="1"/>
        <v>76725.746240000008</v>
      </c>
      <c r="E24" s="145">
        <f t="shared" si="0"/>
        <v>1.0300491685446115E-2</v>
      </c>
      <c r="F24" s="141">
        <f t="shared" si="2"/>
        <v>65.491190882451619</v>
      </c>
    </row>
    <row r="25" spans="1:6" x14ac:dyDescent="0.2">
      <c r="A25" s="130" t="s">
        <v>224</v>
      </c>
      <c r="B25" s="139">
        <v>136982.85500000001</v>
      </c>
      <c r="C25" s="139">
        <v>34549.942419999999</v>
      </c>
      <c r="D25" s="139">
        <f t="shared" si="1"/>
        <v>171532.79742000002</v>
      </c>
      <c r="E25" s="145">
        <f t="shared" si="0"/>
        <v>2.3028412758335431E-2</v>
      </c>
      <c r="F25" s="141">
        <f t="shared" si="2"/>
        <v>146.41613446540163</v>
      </c>
    </row>
    <row r="26" spans="1:6" x14ac:dyDescent="0.2">
      <c r="A26" s="130" t="s">
        <v>226</v>
      </c>
      <c r="B26" s="139">
        <v>5306.19</v>
      </c>
      <c r="C26" s="139">
        <v>140318.61598</v>
      </c>
      <c r="D26" s="139">
        <f t="shared" si="1"/>
        <v>145624.80598</v>
      </c>
      <c r="E26" s="145">
        <f t="shared" si="0"/>
        <v>1.9550244561970565E-2</v>
      </c>
      <c r="F26" s="141">
        <f t="shared" si="2"/>
        <v>124.30171660792648</v>
      </c>
    </row>
    <row r="27" spans="1:6" x14ac:dyDescent="0.2">
      <c r="A27" s="130" t="s">
        <v>360</v>
      </c>
      <c r="B27" s="139">
        <v>67148.051999999996</v>
      </c>
      <c r="C27" s="139">
        <v>1918.5050200000001</v>
      </c>
      <c r="D27" s="139">
        <f t="shared" si="1"/>
        <v>69066.557019999993</v>
      </c>
      <c r="E27" s="145">
        <f t="shared" si="0"/>
        <v>9.2722395179000595E-3</v>
      </c>
      <c r="F27" s="141">
        <f t="shared" si="2"/>
        <v>58.953497242525451</v>
      </c>
    </row>
    <row r="28" spans="1:6" x14ac:dyDescent="0.2">
      <c r="A28" s="130" t="s">
        <v>230</v>
      </c>
      <c r="B28" s="139">
        <v>2675.8890000000001</v>
      </c>
      <c r="C28" s="139">
        <v>6904.5193499999996</v>
      </c>
      <c r="D28" s="139">
        <f t="shared" si="1"/>
        <v>9580.4083499999997</v>
      </c>
      <c r="E28" s="145">
        <f t="shared" si="0"/>
        <v>1.2861773444818765E-3</v>
      </c>
      <c r="F28" s="141">
        <f t="shared" si="2"/>
        <v>8.1775985601894252</v>
      </c>
    </row>
    <row r="29" spans="1:6" x14ac:dyDescent="0.2">
      <c r="A29" s="135" t="s">
        <v>232</v>
      </c>
      <c r="B29" s="136">
        <f>SUM(B30:B32)</f>
        <v>152786.12900000002</v>
      </c>
      <c r="C29" s="136">
        <v>326381.35249999998</v>
      </c>
      <c r="D29" s="136">
        <f t="shared" si="1"/>
        <v>479167.48149999999</v>
      </c>
      <c r="E29" s="144">
        <f t="shared" si="0"/>
        <v>6.4328610681583187E-2</v>
      </c>
      <c r="F29" s="137">
        <f t="shared" si="2"/>
        <v>409.0054581863406</v>
      </c>
    </row>
    <row r="30" spans="1:6" x14ac:dyDescent="0.2">
      <c r="A30" s="130" t="s">
        <v>234</v>
      </c>
      <c r="B30" s="139">
        <v>20988.635999999999</v>
      </c>
      <c r="C30" s="139">
        <v>48204.955889999997</v>
      </c>
      <c r="D30" s="139">
        <f t="shared" si="1"/>
        <v>69193.591889999996</v>
      </c>
      <c r="E30" s="145">
        <f t="shared" si="0"/>
        <v>9.289294048958039E-3</v>
      </c>
      <c r="F30" s="141">
        <f t="shared" si="2"/>
        <v>59.061931051613129</v>
      </c>
    </row>
    <row r="31" spans="1:6" x14ac:dyDescent="0.2">
      <c r="A31" s="130" t="s">
        <v>236</v>
      </c>
      <c r="B31" s="139">
        <v>95701.713000000003</v>
      </c>
      <c r="C31" s="139">
        <v>203623.56630000001</v>
      </c>
      <c r="D31" s="139">
        <f t="shared" si="1"/>
        <v>299325.27929999999</v>
      </c>
      <c r="E31" s="145">
        <f t="shared" si="0"/>
        <v>4.018465380615744E-2</v>
      </c>
      <c r="F31" s="141">
        <f t="shared" si="2"/>
        <v>255.49662223238926</v>
      </c>
    </row>
    <row r="32" spans="1:6" x14ac:dyDescent="0.2">
      <c r="A32" s="130" t="s">
        <v>238</v>
      </c>
      <c r="B32" s="139">
        <v>36095.78</v>
      </c>
      <c r="C32" s="139">
        <v>71162.845360000007</v>
      </c>
      <c r="D32" s="139">
        <f t="shared" si="1"/>
        <v>107258.62536000001</v>
      </c>
      <c r="E32" s="145">
        <f t="shared" si="0"/>
        <v>1.4399554684775129E-2</v>
      </c>
      <c r="F32" s="141">
        <f t="shared" si="2"/>
        <v>91.553297966869337</v>
      </c>
    </row>
    <row r="33" spans="1:6" x14ac:dyDescent="0.2">
      <c r="A33" s="130" t="s">
        <v>240</v>
      </c>
      <c r="B33" s="139">
        <v>0</v>
      </c>
      <c r="C33" s="139">
        <v>3389.9849899999999</v>
      </c>
      <c r="D33" s="139">
        <f t="shared" si="1"/>
        <v>3389.9849899999999</v>
      </c>
      <c r="E33" s="145">
        <f t="shared" si="0"/>
        <v>4.5510814706260625E-4</v>
      </c>
      <c r="F33" s="141">
        <f t="shared" si="2"/>
        <v>2.8936069696118705</v>
      </c>
    </row>
    <row r="34" spans="1:6" x14ac:dyDescent="0.2">
      <c r="A34" s="179" t="s">
        <v>269</v>
      </c>
      <c r="B34" s="179"/>
      <c r="C34" s="179"/>
      <c r="D34" s="179"/>
      <c r="E34" s="179"/>
      <c r="F34" s="179"/>
    </row>
  </sheetData>
  <mergeCells count="2">
    <mergeCell ref="A1:F1"/>
    <mergeCell ref="A34:F34"/>
  </mergeCells>
  <pageMargins left="0.74999999999999989" right="0.74999999999999989" top="1.393700787401575" bottom="1.393700787401575" header="1" footer="1"/>
  <pageSetup paperSize="0" fitToWidth="0" fitToHeight="0" orientation="portrait" horizontalDpi="0" verticalDpi="0" copies="0"/>
  <headerFooter alignWithMargins="0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>
    <tabColor theme="8"/>
  </sheetPr>
  <dimension ref="A1:AMJ26"/>
  <sheetViews>
    <sheetView workbookViewId="0">
      <selection activeCell="B5" sqref="B5:D5"/>
    </sheetView>
  </sheetViews>
  <sheetFormatPr baseColWidth="10" defaultRowHeight="14.25" x14ac:dyDescent="0.2"/>
  <cols>
    <col min="1" max="1" width="7.5" style="97" customWidth="1"/>
    <col min="2" max="3" width="10.125" style="97" customWidth="1"/>
    <col min="4" max="4" width="9" style="97" customWidth="1"/>
    <col min="5" max="5" width="11" style="97" customWidth="1"/>
    <col min="6" max="1024" width="10.125" style="97" customWidth="1"/>
  </cols>
  <sheetData>
    <row r="1" spans="1:6" x14ac:dyDescent="0.2">
      <c r="A1" s="180" t="s">
        <v>366</v>
      </c>
      <c r="B1" s="180"/>
      <c r="C1" s="180"/>
      <c r="D1" s="180"/>
      <c r="E1" s="180"/>
      <c r="F1" s="180"/>
    </row>
    <row r="2" spans="1:6" ht="33.75" x14ac:dyDescent="0.2">
      <c r="A2" s="76"/>
      <c r="B2" s="78" t="s">
        <v>367</v>
      </c>
      <c r="C2" s="78" t="s">
        <v>50</v>
      </c>
      <c r="D2" s="146" t="s">
        <v>368</v>
      </c>
      <c r="E2" s="146" t="s">
        <v>369</v>
      </c>
      <c r="F2" s="146" t="s">
        <v>71</v>
      </c>
    </row>
    <row r="3" spans="1:6" x14ac:dyDescent="0.2">
      <c r="A3" s="147">
        <v>2001</v>
      </c>
      <c r="B3" s="31">
        <v>950491.98</v>
      </c>
      <c r="C3" s="31">
        <v>62883.62</v>
      </c>
      <c r="D3" s="31">
        <v>7.08461330850918</v>
      </c>
      <c r="E3" s="40">
        <v>17789707</v>
      </c>
      <c r="F3" s="148">
        <f t="shared" ref="F3:F22" si="0">B3/E3</f>
        <v>5.3429321798273574E-2</v>
      </c>
    </row>
    <row r="4" spans="1:6" x14ac:dyDescent="0.2">
      <c r="A4" s="147">
        <v>2002</v>
      </c>
      <c r="B4" s="31">
        <v>1069802.54</v>
      </c>
      <c r="C4" s="31">
        <f t="shared" ref="C4:C22" si="1">B4-B3</f>
        <v>119310.56000000006</v>
      </c>
      <c r="D4" s="126">
        <f t="shared" ref="D4:D22" si="2">((B4/B3)-1)*100</f>
        <v>12.552505703414774</v>
      </c>
      <c r="E4" s="40">
        <v>18780108</v>
      </c>
      <c r="F4" s="148">
        <f t="shared" si="0"/>
        <v>5.6964663887981902E-2</v>
      </c>
    </row>
    <row r="5" spans="1:6" x14ac:dyDescent="0.2">
      <c r="A5" s="147">
        <v>2003</v>
      </c>
      <c r="B5" s="31">
        <v>1796610</v>
      </c>
      <c r="C5" s="31">
        <f t="shared" si="1"/>
        <v>726807.46</v>
      </c>
      <c r="D5" s="126">
        <f t="shared" si="2"/>
        <v>67.93846834575659</v>
      </c>
      <c r="E5" s="40">
        <v>19692948</v>
      </c>
      <c r="F5" s="148">
        <f t="shared" si="0"/>
        <v>9.1231135125121945E-2</v>
      </c>
    </row>
    <row r="6" spans="1:6" x14ac:dyDescent="0.2">
      <c r="A6" s="147">
        <v>2004</v>
      </c>
      <c r="B6" s="31">
        <v>1859185.68</v>
      </c>
      <c r="C6" s="31">
        <f t="shared" si="1"/>
        <v>62575.679999999935</v>
      </c>
      <c r="D6" s="126">
        <f t="shared" si="2"/>
        <v>3.482986290847756</v>
      </c>
      <c r="E6" s="40">
        <v>20983851</v>
      </c>
      <c r="F6" s="148">
        <f t="shared" si="0"/>
        <v>8.8600785432569065E-2</v>
      </c>
    </row>
    <row r="7" spans="1:6" x14ac:dyDescent="0.2">
      <c r="A7" s="147">
        <v>2005</v>
      </c>
      <c r="B7" s="31">
        <v>2587788.9670000002</v>
      </c>
      <c r="C7" s="31">
        <f t="shared" si="1"/>
        <v>728603.28700000024</v>
      </c>
      <c r="D7" s="126">
        <f t="shared" si="2"/>
        <v>39.189377093308941</v>
      </c>
      <c r="E7" s="40">
        <v>22602678</v>
      </c>
      <c r="F7" s="148">
        <f t="shared" si="0"/>
        <v>0.11449036999067103</v>
      </c>
    </row>
    <row r="8" spans="1:6" x14ac:dyDescent="0.2">
      <c r="A8" s="147">
        <v>2006</v>
      </c>
      <c r="B8" s="31">
        <v>2713974.46</v>
      </c>
      <c r="C8" s="31">
        <f t="shared" si="1"/>
        <v>126185.49299999978</v>
      </c>
      <c r="D8" s="126">
        <f t="shared" si="2"/>
        <v>4.8761894655685811</v>
      </c>
      <c r="E8" s="40">
        <v>24429529</v>
      </c>
      <c r="F8" s="148">
        <f t="shared" si="0"/>
        <v>0.11109401495215074</v>
      </c>
    </row>
    <row r="9" spans="1:6" x14ac:dyDescent="0.2">
      <c r="A9" s="147">
        <v>2007</v>
      </c>
      <c r="B9" s="31">
        <v>2894384.59</v>
      </c>
      <c r="C9" s="31">
        <f t="shared" si="1"/>
        <v>180410.12999999989</v>
      </c>
      <c r="D9" s="126">
        <f t="shared" si="2"/>
        <v>6.6474512807316533</v>
      </c>
      <c r="E9" s="40">
        <v>26144862</v>
      </c>
      <c r="F9" s="148">
        <f t="shared" si="0"/>
        <v>0.11070567478994534</v>
      </c>
    </row>
    <row r="10" spans="1:6" x14ac:dyDescent="0.2">
      <c r="A10" s="147">
        <v>2008</v>
      </c>
      <c r="B10" s="31">
        <v>3787267.26</v>
      </c>
      <c r="C10" s="31">
        <f t="shared" si="1"/>
        <v>892882.66999999993</v>
      </c>
      <c r="D10" s="126">
        <f t="shared" si="2"/>
        <v>30.848791590615821</v>
      </c>
      <c r="E10" s="40">
        <v>27193863</v>
      </c>
      <c r="F10" s="148">
        <f t="shared" si="0"/>
        <v>0.13926918952265074</v>
      </c>
    </row>
    <row r="11" spans="1:6" x14ac:dyDescent="0.2">
      <c r="A11" s="147">
        <v>2009</v>
      </c>
      <c r="B11" s="31">
        <v>4037475.55</v>
      </c>
      <c r="C11" s="31">
        <f t="shared" si="1"/>
        <v>250208.29000000004</v>
      </c>
      <c r="D11" s="126">
        <f t="shared" si="2"/>
        <v>6.6065654421230358</v>
      </c>
      <c r="E11" s="40">
        <v>26153141</v>
      </c>
      <c r="F11" s="148">
        <f t="shared" si="0"/>
        <v>0.1543782274565032</v>
      </c>
    </row>
    <row r="12" spans="1:6" x14ac:dyDescent="0.2">
      <c r="A12" s="147">
        <v>2010</v>
      </c>
      <c r="B12" s="31">
        <v>3844797.764</v>
      </c>
      <c r="C12" s="31">
        <f t="shared" si="1"/>
        <v>-192677.78599999985</v>
      </c>
      <c r="D12" s="126">
        <f t="shared" si="2"/>
        <v>-4.7722341253558787</v>
      </c>
      <c r="E12" s="40">
        <v>26194558</v>
      </c>
      <c r="F12" s="148">
        <f t="shared" si="0"/>
        <v>0.14677849360924508</v>
      </c>
    </row>
    <row r="13" spans="1:6" x14ac:dyDescent="0.2">
      <c r="A13" s="147">
        <v>2011</v>
      </c>
      <c r="B13" s="31">
        <v>3384430.2749999999</v>
      </c>
      <c r="C13" s="31">
        <f t="shared" si="1"/>
        <v>-460367.48900000006</v>
      </c>
      <c r="D13" s="126">
        <f t="shared" si="2"/>
        <v>-11.9737764443831</v>
      </c>
      <c r="E13" s="40">
        <v>26030098</v>
      </c>
      <c r="F13" s="148">
        <f t="shared" si="0"/>
        <v>0.1300198821763944</v>
      </c>
    </row>
    <row r="14" spans="1:6" x14ac:dyDescent="0.2">
      <c r="A14" s="147">
        <v>2012</v>
      </c>
      <c r="B14" s="31">
        <v>3674902.3220000002</v>
      </c>
      <c r="C14" s="31">
        <f t="shared" si="1"/>
        <v>290472.04700000025</v>
      </c>
      <c r="D14" s="126">
        <f t="shared" si="2"/>
        <v>8.5825980563301929</v>
      </c>
      <c r="E14" s="40">
        <v>25646507</v>
      </c>
      <c r="F14" s="148">
        <f t="shared" si="0"/>
        <v>0.14329055890535114</v>
      </c>
    </row>
    <row r="15" spans="1:6" x14ac:dyDescent="0.2">
      <c r="A15" s="147">
        <v>2013</v>
      </c>
      <c r="B15" s="31">
        <v>3574246.8709999998</v>
      </c>
      <c r="C15" s="31">
        <f t="shared" si="1"/>
        <v>-100655.45100000035</v>
      </c>
      <c r="D15" s="126">
        <f t="shared" si="2"/>
        <v>-2.738996636656732</v>
      </c>
      <c r="E15" s="40">
        <v>25507987</v>
      </c>
      <c r="F15" s="148">
        <f t="shared" si="0"/>
        <v>0.14012265534712715</v>
      </c>
    </row>
    <row r="16" spans="1:6" x14ac:dyDescent="0.2">
      <c r="A16" s="147">
        <v>2014</v>
      </c>
      <c r="B16" s="31">
        <v>3850933.5180000002</v>
      </c>
      <c r="C16" s="31">
        <f t="shared" si="1"/>
        <v>276686.64700000035</v>
      </c>
      <c r="D16" s="126">
        <f t="shared" si="2"/>
        <v>7.7411174153896312</v>
      </c>
      <c r="E16" s="40">
        <v>26300686</v>
      </c>
      <c r="F16" s="148">
        <f t="shared" si="0"/>
        <v>0.14641950852536698</v>
      </c>
    </row>
    <row r="17" spans="1:7" x14ac:dyDescent="0.2">
      <c r="A17" s="147">
        <v>2015</v>
      </c>
      <c r="B17" s="31">
        <v>4035591.952</v>
      </c>
      <c r="C17" s="31">
        <f t="shared" si="1"/>
        <v>184658.43399999989</v>
      </c>
      <c r="D17" s="126">
        <f t="shared" si="2"/>
        <v>4.7951602679420668</v>
      </c>
      <c r="E17" s="40">
        <v>27617743</v>
      </c>
      <c r="F17" s="148">
        <f t="shared" si="0"/>
        <v>0.1461231626349771</v>
      </c>
    </row>
    <row r="18" spans="1:7" x14ac:dyDescent="0.2">
      <c r="A18" s="147">
        <v>2016</v>
      </c>
      <c r="B18" s="31">
        <v>4240896.6979999999</v>
      </c>
      <c r="C18" s="31">
        <f t="shared" si="1"/>
        <v>205304.74599999981</v>
      </c>
      <c r="D18" s="126">
        <f t="shared" si="2"/>
        <v>5.087351457776923</v>
      </c>
      <c r="E18" s="40">
        <v>29134126</v>
      </c>
      <c r="F18" s="148">
        <f t="shared" si="0"/>
        <v>0.14556457598899655</v>
      </c>
    </row>
    <row r="19" spans="1:7" x14ac:dyDescent="0.2">
      <c r="A19" s="147">
        <v>2017</v>
      </c>
      <c r="B19" s="31">
        <v>4668235.8940000003</v>
      </c>
      <c r="C19" s="31">
        <f t="shared" si="1"/>
        <v>427339.19600000046</v>
      </c>
      <c r="D19" s="126">
        <f t="shared" si="2"/>
        <v>10.076623564104569</v>
      </c>
      <c r="E19" s="40">
        <v>30435900</v>
      </c>
      <c r="F19" s="148">
        <f t="shared" si="0"/>
        <v>0.15337926244993577</v>
      </c>
    </row>
    <row r="20" spans="1:7" x14ac:dyDescent="0.2">
      <c r="A20" s="147">
        <v>2018</v>
      </c>
      <c r="B20" s="31">
        <v>5008809.0999999996</v>
      </c>
      <c r="C20" s="31">
        <f t="shared" si="1"/>
        <v>340573.20599999931</v>
      </c>
      <c r="D20" s="126">
        <f t="shared" si="2"/>
        <v>7.2955440498996937</v>
      </c>
      <c r="E20" s="40">
        <v>31490768</v>
      </c>
      <c r="F20" s="148">
        <f t="shared" si="0"/>
        <v>0.15905642885559348</v>
      </c>
    </row>
    <row r="21" spans="1:7" x14ac:dyDescent="0.2">
      <c r="A21" s="20">
        <v>2019</v>
      </c>
      <c r="B21" s="149">
        <v>5457748.6399999997</v>
      </c>
      <c r="C21" s="149">
        <f t="shared" si="1"/>
        <v>448939.54000000004</v>
      </c>
      <c r="D21" s="122">
        <f t="shared" si="2"/>
        <v>8.9629996080305752</v>
      </c>
      <c r="E21" s="84">
        <v>32349252.780000001</v>
      </c>
      <c r="F21" s="150">
        <f t="shared" si="0"/>
        <v>0.16871328302749128</v>
      </c>
      <c r="G21" s="127"/>
    </row>
    <row r="22" spans="1:7" x14ac:dyDescent="0.2">
      <c r="A22" s="151">
        <v>2020</v>
      </c>
      <c r="B22" s="152">
        <v>5869887.8700000001</v>
      </c>
      <c r="C22" s="152">
        <f t="shared" si="1"/>
        <v>412139.23000000045</v>
      </c>
      <c r="D22" s="153">
        <f t="shared" si="2"/>
        <v>7.5514512885298535</v>
      </c>
      <c r="E22" s="154">
        <f>25646*1171543/1000</f>
        <v>30045391.778000001</v>
      </c>
      <c r="F22" s="155">
        <f t="shared" si="0"/>
        <v>0.19536732665599923</v>
      </c>
    </row>
    <row r="23" spans="1:7" x14ac:dyDescent="0.2">
      <c r="A23" s="201" t="s">
        <v>370</v>
      </c>
      <c r="B23" s="201"/>
      <c r="C23" s="201"/>
      <c r="D23" s="201"/>
      <c r="E23" s="201"/>
      <c r="F23" s="201"/>
      <c r="G23" s="201"/>
    </row>
    <row r="26" spans="1:7" ht="18" x14ac:dyDescent="0.25">
      <c r="B26" s="159"/>
      <c r="C26" s="160"/>
      <c r="D26" s="159"/>
      <c r="E26" s="159"/>
    </row>
  </sheetData>
  <mergeCells count="2">
    <mergeCell ref="A1:F1"/>
    <mergeCell ref="A23:G23"/>
  </mergeCells>
  <pageMargins left="0.70000000000000007" right="0.70000000000000007" top="1.1437007874015745" bottom="1.1437007874015745" header="0.74999999999999989" footer="0.74999999999999989"/>
  <pageSetup paperSize="0" fitToWidth="0" fitToHeight="0" orientation="portrait" horizontalDpi="0" verticalDpi="0" copies="0"/>
  <headerFooter alignWithMargins="0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>
    <tabColor theme="8"/>
  </sheetPr>
  <dimension ref="A1:AMJ28"/>
  <sheetViews>
    <sheetView workbookViewId="0">
      <selection activeCell="B5" sqref="B5:D5"/>
    </sheetView>
  </sheetViews>
  <sheetFormatPr baseColWidth="10" defaultRowHeight="14.25" x14ac:dyDescent="0.2"/>
  <cols>
    <col min="1" max="1" width="10.125" style="1" customWidth="1"/>
    <col min="2" max="2" width="24.5" style="1" customWidth="1"/>
    <col min="3" max="5" width="13.125" style="1" customWidth="1"/>
    <col min="6" max="6" width="10.125" style="1" customWidth="1"/>
    <col min="7" max="7" width="11" style="1" customWidth="1"/>
    <col min="8" max="1024" width="10.125" style="1" customWidth="1"/>
  </cols>
  <sheetData>
    <row r="1" spans="1:10" x14ac:dyDescent="0.2">
      <c r="A1" s="166" t="s">
        <v>378</v>
      </c>
      <c r="B1" s="166"/>
      <c r="C1" s="166"/>
      <c r="D1" s="166"/>
      <c r="E1" s="166"/>
      <c r="F1" s="166"/>
    </row>
    <row r="2" spans="1:10" x14ac:dyDescent="0.2">
      <c r="A2" s="174"/>
      <c r="B2" s="174"/>
      <c r="C2" s="46">
        <v>2019</v>
      </c>
      <c r="D2" s="46">
        <v>2020</v>
      </c>
      <c r="E2" s="46" t="s">
        <v>372</v>
      </c>
      <c r="F2" s="156" t="s">
        <v>246</v>
      </c>
    </row>
    <row r="3" spans="1:10" x14ac:dyDescent="0.2">
      <c r="A3" s="185" t="s">
        <v>104</v>
      </c>
      <c r="B3" s="50" t="s">
        <v>138</v>
      </c>
      <c r="C3" s="72">
        <v>413986788.95999998</v>
      </c>
      <c r="D3" s="72">
        <f>SUM(D4:D8)</f>
        <v>426262160.20999998</v>
      </c>
      <c r="E3" s="72">
        <f t="shared" ref="E3:E26" si="0">D3-C3</f>
        <v>12275371.25</v>
      </c>
      <c r="F3" s="22">
        <f t="shared" ref="F3:F9" si="1">E3/C3</f>
        <v>2.9651601397323972E-2</v>
      </c>
      <c r="G3" s="18"/>
    </row>
    <row r="4" spans="1:10" x14ac:dyDescent="0.2">
      <c r="A4" s="185"/>
      <c r="B4" s="56" t="s">
        <v>56</v>
      </c>
      <c r="C4" s="72">
        <v>188568679.91</v>
      </c>
      <c r="D4" s="72">
        <v>191053380.78999999</v>
      </c>
      <c r="E4" s="72">
        <f t="shared" si="0"/>
        <v>2484700.8799999952</v>
      </c>
      <c r="F4" s="22">
        <f t="shared" si="1"/>
        <v>1.3176636126348727E-2</v>
      </c>
    </row>
    <row r="5" spans="1:10" x14ac:dyDescent="0.2">
      <c r="A5" s="185"/>
      <c r="B5" s="56" t="s">
        <v>57</v>
      </c>
      <c r="C5" s="72">
        <v>27542161</v>
      </c>
      <c r="D5" s="72">
        <v>29836999.960000001</v>
      </c>
      <c r="E5" s="72">
        <f t="shared" si="0"/>
        <v>2294838.9600000009</v>
      </c>
      <c r="F5" s="22">
        <f t="shared" si="1"/>
        <v>8.3320947837027051E-2</v>
      </c>
    </row>
    <row r="6" spans="1:10" x14ac:dyDescent="0.2">
      <c r="A6" s="185"/>
      <c r="B6" s="56" t="s">
        <v>139</v>
      </c>
      <c r="C6" s="72">
        <v>104232502.63</v>
      </c>
      <c r="D6" s="72">
        <v>107663629.01000001</v>
      </c>
      <c r="E6" s="72">
        <f t="shared" si="0"/>
        <v>3431126.3800000101</v>
      </c>
      <c r="F6" s="22">
        <f t="shared" si="1"/>
        <v>3.2918008235681279E-2</v>
      </c>
    </row>
    <row r="7" spans="1:10" x14ac:dyDescent="0.2">
      <c r="A7" s="185"/>
      <c r="B7" s="56" t="s">
        <v>59</v>
      </c>
      <c r="C7" s="72">
        <v>88288779.420000002</v>
      </c>
      <c r="D7" s="72">
        <v>92182410.450000003</v>
      </c>
      <c r="E7" s="72">
        <f t="shared" si="0"/>
        <v>3893631.0300000012</v>
      </c>
      <c r="F7" s="22">
        <f t="shared" si="1"/>
        <v>4.410108572775194E-2</v>
      </c>
    </row>
    <row r="8" spans="1:10" x14ac:dyDescent="0.2">
      <c r="A8" s="185"/>
      <c r="B8" s="56" t="s">
        <v>60</v>
      </c>
      <c r="C8" s="72">
        <v>5354666</v>
      </c>
      <c r="D8" s="72">
        <v>5525740</v>
      </c>
      <c r="E8" s="72">
        <f t="shared" si="0"/>
        <v>171074</v>
      </c>
      <c r="F8" s="22">
        <f t="shared" si="1"/>
        <v>3.1948584654953267E-2</v>
      </c>
    </row>
    <row r="9" spans="1:10" x14ac:dyDescent="0.2">
      <c r="A9" s="185"/>
      <c r="B9" s="50" t="s">
        <v>140</v>
      </c>
      <c r="C9" s="72">
        <v>9775423.0299999993</v>
      </c>
      <c r="D9" s="72">
        <f>SUM(D10:D13)</f>
        <v>17980268.740000002</v>
      </c>
      <c r="E9" s="72">
        <f t="shared" si="0"/>
        <v>8204845.7100000028</v>
      </c>
      <c r="F9" s="22">
        <f t="shared" si="1"/>
        <v>0.83933408148373534</v>
      </c>
    </row>
    <row r="10" spans="1:10" x14ac:dyDescent="0.2">
      <c r="A10" s="185"/>
      <c r="B10" s="56" t="s">
        <v>62</v>
      </c>
      <c r="C10" s="72">
        <v>0</v>
      </c>
      <c r="D10" s="72">
        <v>0</v>
      </c>
      <c r="E10" s="72">
        <f t="shared" si="0"/>
        <v>0</v>
      </c>
      <c r="F10" s="22">
        <v>0</v>
      </c>
    </row>
    <row r="11" spans="1:10" x14ac:dyDescent="0.2">
      <c r="A11" s="185"/>
      <c r="B11" s="56" t="s">
        <v>63</v>
      </c>
      <c r="C11" s="72">
        <v>6141423.0300000003</v>
      </c>
      <c r="D11" s="72">
        <v>6075039.1500000004</v>
      </c>
      <c r="E11" s="72">
        <f t="shared" si="0"/>
        <v>-66383.879999999888</v>
      </c>
      <c r="F11" s="22">
        <f>E11/C11</f>
        <v>-1.0809201658267773E-2</v>
      </c>
    </row>
    <row r="12" spans="1:10" x14ac:dyDescent="0.2">
      <c r="A12" s="185"/>
      <c r="B12" s="56" t="s">
        <v>141</v>
      </c>
      <c r="C12" s="72">
        <v>3634000</v>
      </c>
      <c r="D12" s="72">
        <v>3824000</v>
      </c>
      <c r="E12" s="72">
        <f t="shared" si="0"/>
        <v>190000</v>
      </c>
      <c r="F12" s="22">
        <f>E12/C12</f>
        <v>5.2283984589983491E-2</v>
      </c>
    </row>
    <row r="13" spans="1:10" x14ac:dyDescent="0.2">
      <c r="A13" s="185"/>
      <c r="B13" s="56" t="s">
        <v>142</v>
      </c>
      <c r="C13" s="72">
        <v>0</v>
      </c>
      <c r="D13" s="72">
        <v>8081229.5899999999</v>
      </c>
      <c r="E13" s="72">
        <f t="shared" si="0"/>
        <v>8081229.5899999999</v>
      </c>
      <c r="F13" s="23" t="s">
        <v>373</v>
      </c>
    </row>
    <row r="14" spans="1:10" s="48" customFormat="1" ht="11.25" x14ac:dyDescent="0.2">
      <c r="A14" s="185"/>
      <c r="B14" s="59" t="s">
        <v>107</v>
      </c>
      <c r="C14" s="60">
        <v>423762211.99000001</v>
      </c>
      <c r="D14" s="60">
        <f>D9+D3</f>
        <v>444242428.94999999</v>
      </c>
      <c r="E14" s="60">
        <f t="shared" si="0"/>
        <v>20480216.959999979</v>
      </c>
      <c r="F14" s="157">
        <f t="shared" ref="F14:F26" si="2">E14/C14</f>
        <v>4.8329502679873855E-2</v>
      </c>
    </row>
    <row r="15" spans="1:10" x14ac:dyDescent="0.2">
      <c r="A15" s="185" t="s">
        <v>108</v>
      </c>
      <c r="B15" s="50" t="s">
        <v>138</v>
      </c>
      <c r="C15" s="72">
        <v>375813585.5</v>
      </c>
      <c r="D15" s="72">
        <f>SUM(D16:D20)</f>
        <v>392540954.79000008</v>
      </c>
      <c r="E15" s="72">
        <f t="shared" si="0"/>
        <v>16727369.290000081</v>
      </c>
      <c r="F15" s="22">
        <f t="shared" si="2"/>
        <v>4.4509751470919297E-2</v>
      </c>
      <c r="J15" s="48"/>
    </row>
    <row r="16" spans="1:10" x14ac:dyDescent="0.2">
      <c r="A16" s="185"/>
      <c r="B16" s="56" t="s">
        <v>143</v>
      </c>
      <c r="C16" s="72">
        <v>168937935.50999999</v>
      </c>
      <c r="D16" s="72">
        <v>181164436.27000001</v>
      </c>
      <c r="E16" s="72">
        <f t="shared" si="0"/>
        <v>12226500.76000002</v>
      </c>
      <c r="F16" s="22">
        <f t="shared" si="2"/>
        <v>7.2372736905360682E-2</v>
      </c>
      <c r="J16" s="48"/>
    </row>
    <row r="17" spans="1:10" x14ac:dyDescent="0.2">
      <c r="A17" s="185"/>
      <c r="B17" s="56" t="s">
        <v>150</v>
      </c>
      <c r="C17" s="72">
        <v>141208974.40000001</v>
      </c>
      <c r="D17" s="72">
        <v>141043780.06</v>
      </c>
      <c r="E17" s="72">
        <f t="shared" si="0"/>
        <v>-165194.34000000358</v>
      </c>
      <c r="F17" s="22">
        <f t="shared" si="2"/>
        <v>-1.1698572325301413E-3</v>
      </c>
      <c r="J17" s="48"/>
    </row>
    <row r="18" spans="1:10" x14ac:dyDescent="0.2">
      <c r="A18" s="185"/>
      <c r="B18" s="56" t="s">
        <v>145</v>
      </c>
      <c r="C18" s="72">
        <v>8532986.4299999997</v>
      </c>
      <c r="D18" s="72">
        <v>7430547.54</v>
      </c>
      <c r="E18" s="72">
        <f t="shared" si="0"/>
        <v>-1102438.8899999997</v>
      </c>
      <c r="F18" s="22">
        <f t="shared" si="2"/>
        <v>-0.12919730964578596</v>
      </c>
      <c r="J18" s="48"/>
    </row>
    <row r="19" spans="1:10" x14ac:dyDescent="0.2">
      <c r="A19" s="185"/>
      <c r="B19" s="56" t="s">
        <v>59</v>
      </c>
      <c r="C19" s="72">
        <v>50848924.859999999</v>
      </c>
      <c r="D19" s="72">
        <v>58717532.509999998</v>
      </c>
      <c r="E19" s="72">
        <f t="shared" si="0"/>
        <v>7868607.6499999985</v>
      </c>
      <c r="F19" s="22">
        <f t="shared" si="2"/>
        <v>0.15474481853184258</v>
      </c>
      <c r="J19" s="48"/>
    </row>
    <row r="20" spans="1:10" x14ac:dyDescent="0.2">
      <c r="A20" s="185"/>
      <c r="B20" s="56" t="s">
        <v>146</v>
      </c>
      <c r="C20" s="72">
        <v>6284764.2999999998</v>
      </c>
      <c r="D20" s="72">
        <v>4184658.41</v>
      </c>
      <c r="E20" s="72">
        <f t="shared" si="0"/>
        <v>-2100105.8899999997</v>
      </c>
      <c r="F20" s="22">
        <f t="shared" si="2"/>
        <v>-0.33415825793180498</v>
      </c>
      <c r="J20" s="48"/>
    </row>
    <row r="21" spans="1:10" x14ac:dyDescent="0.2">
      <c r="A21" s="185"/>
      <c r="B21" s="50" t="s">
        <v>140</v>
      </c>
      <c r="C21" s="72">
        <v>47948626.490000002</v>
      </c>
      <c r="D21" s="72">
        <f>SUM(D22:D25)</f>
        <v>51701474.159999996</v>
      </c>
      <c r="E21" s="72">
        <f t="shared" si="0"/>
        <v>3752847.6699999943</v>
      </c>
      <c r="F21" s="22">
        <f t="shared" si="2"/>
        <v>7.8268095349564915E-2</v>
      </c>
      <c r="J21" s="48"/>
    </row>
    <row r="22" spans="1:10" x14ac:dyDescent="0.2">
      <c r="A22" s="185"/>
      <c r="B22" s="56" t="s">
        <v>81</v>
      </c>
      <c r="C22" s="72">
        <v>15367334.140000001</v>
      </c>
      <c r="D22" s="72">
        <v>24738315.52</v>
      </c>
      <c r="E22" s="72">
        <f t="shared" si="0"/>
        <v>9370981.379999999</v>
      </c>
      <c r="F22" s="22">
        <f t="shared" si="2"/>
        <v>0.60979876500557428</v>
      </c>
      <c r="J22" s="48"/>
    </row>
    <row r="23" spans="1:10" x14ac:dyDescent="0.2">
      <c r="A23" s="185"/>
      <c r="B23" s="56" t="s">
        <v>63</v>
      </c>
      <c r="C23" s="72">
        <v>1640476.73</v>
      </c>
      <c r="D23" s="72">
        <v>1577322.09</v>
      </c>
      <c r="E23" s="72">
        <f t="shared" si="0"/>
        <v>-63154.639999999898</v>
      </c>
      <c r="F23" s="22">
        <f t="shared" si="2"/>
        <v>-3.8497735959960797E-2</v>
      </c>
      <c r="J23" s="48"/>
    </row>
    <row r="24" spans="1:10" x14ac:dyDescent="0.2">
      <c r="A24" s="185"/>
      <c r="B24" s="56" t="s">
        <v>141</v>
      </c>
      <c r="C24" s="72">
        <v>1484000</v>
      </c>
      <c r="D24" s="72">
        <v>1474000</v>
      </c>
      <c r="E24" s="72">
        <f t="shared" si="0"/>
        <v>-10000</v>
      </c>
      <c r="F24" s="22">
        <f t="shared" si="2"/>
        <v>-6.7385444743935314E-3</v>
      </c>
      <c r="J24" s="48"/>
    </row>
    <row r="25" spans="1:10" x14ac:dyDescent="0.2">
      <c r="A25" s="185"/>
      <c r="B25" s="56" t="s">
        <v>142</v>
      </c>
      <c r="C25" s="72">
        <v>29456815.620000001</v>
      </c>
      <c r="D25" s="72">
        <v>23911836.550000001</v>
      </c>
      <c r="E25" s="72">
        <f t="shared" si="0"/>
        <v>-5544979.0700000003</v>
      </c>
      <c r="F25" s="22">
        <f t="shared" si="2"/>
        <v>-0.18824095386044312</v>
      </c>
    </row>
    <row r="26" spans="1:10" s="48" customFormat="1" ht="11.25" x14ac:dyDescent="0.2">
      <c r="A26" s="185"/>
      <c r="B26" s="59" t="s">
        <v>111</v>
      </c>
      <c r="C26" s="60">
        <v>423762211.99000001</v>
      </c>
      <c r="D26" s="60">
        <f>D21+D15</f>
        <v>444242428.95000005</v>
      </c>
      <c r="E26" s="60">
        <f t="shared" si="0"/>
        <v>20480216.960000038</v>
      </c>
      <c r="F26" s="157">
        <f t="shared" si="2"/>
        <v>4.8329502679873994E-2</v>
      </c>
    </row>
    <row r="27" spans="1:10" ht="11.25" customHeight="1" x14ac:dyDescent="0.2">
      <c r="A27" s="179" t="s">
        <v>374</v>
      </c>
      <c r="B27" s="179"/>
      <c r="C27" s="179"/>
      <c r="D27" s="179"/>
      <c r="E27" s="179"/>
      <c r="F27" s="179"/>
    </row>
    <row r="28" spans="1:10" x14ac:dyDescent="0.2">
      <c r="B28" s="158"/>
    </row>
  </sheetData>
  <mergeCells count="5">
    <mergeCell ref="A1:F1"/>
    <mergeCell ref="A2:B2"/>
    <mergeCell ref="A3:A14"/>
    <mergeCell ref="A15:A26"/>
    <mergeCell ref="A27:F27"/>
  </mergeCells>
  <pageMargins left="1.1811023622047243" right="0.74803149606299213" top="1.3775590551181103" bottom="1.3775590551181103" header="0.98385826771653528" footer="0.98385826771653528"/>
  <pageSetup paperSize="0" fitToWidth="0" fitToHeight="0" orientation="portrait" horizontalDpi="0" verticalDpi="0" copies="0"/>
  <headerFooter alignWithMargins="0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>
    <tabColor theme="8"/>
  </sheetPr>
  <dimension ref="A1:AMJ26"/>
  <sheetViews>
    <sheetView workbookViewId="0">
      <selection activeCell="B5" sqref="B5:D5"/>
    </sheetView>
  </sheetViews>
  <sheetFormatPr baseColWidth="10" defaultRowHeight="14.25" x14ac:dyDescent="0.2"/>
  <cols>
    <col min="1" max="1" width="10.125" style="1" customWidth="1"/>
    <col min="2" max="2" width="24.25" style="1" customWidth="1"/>
    <col min="3" max="5" width="13.125" style="1" customWidth="1"/>
    <col min="6" max="1024" width="10.125" style="1" customWidth="1"/>
  </cols>
  <sheetData>
    <row r="1" spans="1:6" x14ac:dyDescent="0.2">
      <c r="A1" s="166" t="s">
        <v>377</v>
      </c>
      <c r="B1" s="166"/>
      <c r="C1" s="166"/>
      <c r="D1" s="166"/>
      <c r="E1" s="166"/>
      <c r="F1" s="166"/>
    </row>
    <row r="2" spans="1:6" x14ac:dyDescent="0.2">
      <c r="A2" s="174"/>
      <c r="B2" s="174"/>
      <c r="C2" s="46">
        <v>2019</v>
      </c>
      <c r="D2" s="46">
        <v>2020</v>
      </c>
      <c r="E2" s="46" t="s">
        <v>375</v>
      </c>
      <c r="F2" s="46" t="s">
        <v>376</v>
      </c>
    </row>
    <row r="3" spans="1:6" x14ac:dyDescent="0.2">
      <c r="A3" s="185" t="s">
        <v>104</v>
      </c>
      <c r="B3" s="50" t="s">
        <v>138</v>
      </c>
      <c r="C3" s="107">
        <v>93635735.859999999</v>
      </c>
      <c r="D3" s="107">
        <f>SUM(D4:D8)</f>
        <v>99587806.539999992</v>
      </c>
      <c r="E3" s="107">
        <f t="shared" ref="E3:E25" si="0">D3-C3</f>
        <v>5952070.6799999923</v>
      </c>
      <c r="F3" s="22">
        <f t="shared" ref="F3:F12" si="1">E3/C3</f>
        <v>6.356622955256383E-2</v>
      </c>
    </row>
    <row r="4" spans="1:6" x14ac:dyDescent="0.2">
      <c r="A4" s="185"/>
      <c r="B4" s="56" t="s">
        <v>56</v>
      </c>
      <c r="C4" s="107">
        <v>53135000</v>
      </c>
      <c r="D4" s="107">
        <v>54720000</v>
      </c>
      <c r="E4" s="107">
        <f t="shared" si="0"/>
        <v>1585000</v>
      </c>
      <c r="F4" s="22">
        <f t="shared" si="1"/>
        <v>2.9829679119224618E-2</v>
      </c>
    </row>
    <row r="5" spans="1:6" x14ac:dyDescent="0.2">
      <c r="A5" s="185"/>
      <c r="B5" s="56" t="s">
        <v>57</v>
      </c>
      <c r="C5" s="107">
        <v>5001500</v>
      </c>
      <c r="D5" s="107">
        <v>6101500</v>
      </c>
      <c r="E5" s="107">
        <f t="shared" si="0"/>
        <v>1100000</v>
      </c>
      <c r="F5" s="22">
        <f t="shared" si="1"/>
        <v>0.21993401979406177</v>
      </c>
    </row>
    <row r="6" spans="1:6" x14ac:dyDescent="0.2">
      <c r="A6" s="185"/>
      <c r="B6" s="56" t="s">
        <v>139</v>
      </c>
      <c r="C6" s="107">
        <v>9861000</v>
      </c>
      <c r="D6" s="107">
        <v>11844702.890000001</v>
      </c>
      <c r="E6" s="107">
        <f t="shared" si="0"/>
        <v>1983702.8900000006</v>
      </c>
      <c r="F6" s="22">
        <f t="shared" si="1"/>
        <v>0.20116650339722145</v>
      </c>
    </row>
    <row r="7" spans="1:6" x14ac:dyDescent="0.2">
      <c r="A7" s="185"/>
      <c r="B7" s="56" t="s">
        <v>59</v>
      </c>
      <c r="C7" s="107">
        <v>20661334.859999999</v>
      </c>
      <c r="D7" s="107">
        <v>22731089.149999999</v>
      </c>
      <c r="E7" s="107">
        <f t="shared" si="0"/>
        <v>2069754.2899999991</v>
      </c>
      <c r="F7" s="22">
        <f t="shared" si="1"/>
        <v>0.1001752454052235</v>
      </c>
    </row>
    <row r="8" spans="1:6" x14ac:dyDescent="0.2">
      <c r="A8" s="185"/>
      <c r="B8" s="56" t="s">
        <v>60</v>
      </c>
      <c r="C8" s="107">
        <v>4976901</v>
      </c>
      <c r="D8" s="107">
        <v>4190514.5</v>
      </c>
      <c r="E8" s="107">
        <f t="shared" si="0"/>
        <v>-786386.5</v>
      </c>
      <c r="F8" s="22">
        <f t="shared" si="1"/>
        <v>-0.15800726194875084</v>
      </c>
    </row>
    <row r="9" spans="1:6" x14ac:dyDescent="0.2">
      <c r="A9" s="185"/>
      <c r="B9" s="50" t="s">
        <v>140</v>
      </c>
      <c r="C9" s="107">
        <v>2481517.14</v>
      </c>
      <c r="D9" s="107">
        <f>SUM(D10:D13)</f>
        <v>3257797.23</v>
      </c>
      <c r="E9" s="107">
        <f t="shared" si="0"/>
        <v>776280.08999999985</v>
      </c>
      <c r="F9" s="22">
        <f t="shared" si="1"/>
        <v>0.31282479475438957</v>
      </c>
    </row>
    <row r="10" spans="1:6" x14ac:dyDescent="0.2">
      <c r="A10" s="185"/>
      <c r="B10" s="56" t="s">
        <v>62</v>
      </c>
      <c r="C10" s="107">
        <v>2000</v>
      </c>
      <c r="D10" s="107">
        <v>2000</v>
      </c>
      <c r="E10" s="107">
        <f t="shared" si="0"/>
        <v>0</v>
      </c>
      <c r="F10" s="22">
        <f t="shared" si="1"/>
        <v>0</v>
      </c>
    </row>
    <row r="11" spans="1:6" x14ac:dyDescent="0.2">
      <c r="A11" s="185"/>
      <c r="B11" s="56" t="s">
        <v>63</v>
      </c>
      <c r="C11" s="107">
        <v>2239516.14</v>
      </c>
      <c r="D11" s="107">
        <v>2901797.23</v>
      </c>
      <c r="E11" s="107">
        <f t="shared" si="0"/>
        <v>662281.08999999985</v>
      </c>
      <c r="F11" s="22">
        <f t="shared" si="1"/>
        <v>0.29572508015057208</v>
      </c>
    </row>
    <row r="12" spans="1:6" x14ac:dyDescent="0.2">
      <c r="A12" s="185"/>
      <c r="B12" s="56" t="s">
        <v>141</v>
      </c>
      <c r="C12" s="107">
        <v>240001</v>
      </c>
      <c r="D12" s="107">
        <v>354000</v>
      </c>
      <c r="E12" s="107">
        <f t="shared" si="0"/>
        <v>113999</v>
      </c>
      <c r="F12" s="22">
        <f t="shared" si="1"/>
        <v>0.47499385419227419</v>
      </c>
    </row>
    <row r="13" spans="1:6" x14ac:dyDescent="0.2">
      <c r="A13" s="185"/>
      <c r="B13" s="56" t="s">
        <v>142</v>
      </c>
      <c r="C13" s="107">
        <v>0</v>
      </c>
      <c r="D13" s="107">
        <v>0</v>
      </c>
      <c r="E13" s="107">
        <f t="shared" si="0"/>
        <v>0</v>
      </c>
      <c r="F13" s="22">
        <v>0</v>
      </c>
    </row>
    <row r="14" spans="1:6" s="48" customFormat="1" ht="11.25" x14ac:dyDescent="0.2">
      <c r="A14" s="185"/>
      <c r="B14" s="59" t="s">
        <v>107</v>
      </c>
      <c r="C14" s="102">
        <v>96117253</v>
      </c>
      <c r="D14" s="102">
        <f>D9+D3</f>
        <v>102845603.77</v>
      </c>
      <c r="E14" s="102">
        <f t="shared" si="0"/>
        <v>6728350.7699999958</v>
      </c>
      <c r="F14" s="61">
        <f t="shared" ref="F14:F25" si="2">E14/C14</f>
        <v>7.0001488390434921E-2</v>
      </c>
    </row>
    <row r="15" spans="1:6" x14ac:dyDescent="0.2">
      <c r="A15" s="185" t="s">
        <v>108</v>
      </c>
      <c r="B15" s="50" t="s">
        <v>138</v>
      </c>
      <c r="C15" s="107">
        <v>81912202</v>
      </c>
      <c r="D15" s="107">
        <f>SUM(D16:D19)</f>
        <v>89172856.769999996</v>
      </c>
      <c r="E15" s="107">
        <f t="shared" si="0"/>
        <v>7260654.7699999958</v>
      </c>
      <c r="F15" s="22">
        <f t="shared" si="2"/>
        <v>8.8639477302783237E-2</v>
      </c>
    </row>
    <row r="16" spans="1:6" x14ac:dyDescent="0.2">
      <c r="A16" s="185"/>
      <c r="B16" s="56" t="s">
        <v>143</v>
      </c>
      <c r="C16" s="107">
        <v>34047589.100000001</v>
      </c>
      <c r="D16" s="107">
        <v>42350740.5</v>
      </c>
      <c r="E16" s="107">
        <f t="shared" si="0"/>
        <v>8303151.3999999985</v>
      </c>
      <c r="F16" s="22">
        <f t="shared" si="2"/>
        <v>0.24386899688001692</v>
      </c>
    </row>
    <row r="17" spans="1:6" x14ac:dyDescent="0.2">
      <c r="A17" s="185"/>
      <c r="B17" s="56" t="s">
        <v>150</v>
      </c>
      <c r="C17" s="107">
        <v>18493476.899999999</v>
      </c>
      <c r="D17" s="107">
        <v>22915466.18</v>
      </c>
      <c r="E17" s="107">
        <f t="shared" si="0"/>
        <v>4421989.2800000012</v>
      </c>
      <c r="F17" s="22">
        <f t="shared" si="2"/>
        <v>0.2391107580208458</v>
      </c>
    </row>
    <row r="18" spans="1:6" x14ac:dyDescent="0.2">
      <c r="A18" s="185"/>
      <c r="B18" s="56" t="s">
        <v>145</v>
      </c>
      <c r="C18" s="107">
        <v>765000</v>
      </c>
      <c r="D18" s="107">
        <v>339484.07</v>
      </c>
      <c r="E18" s="107">
        <f t="shared" si="0"/>
        <v>-425515.93</v>
      </c>
      <c r="F18" s="22">
        <f t="shared" si="2"/>
        <v>-0.55622997385620909</v>
      </c>
    </row>
    <row r="19" spans="1:6" x14ac:dyDescent="0.2">
      <c r="A19" s="185"/>
      <c r="B19" s="56" t="s">
        <v>59</v>
      </c>
      <c r="C19" s="107">
        <v>28606136</v>
      </c>
      <c r="D19" s="107">
        <v>23567166.02</v>
      </c>
      <c r="E19" s="107">
        <f t="shared" si="0"/>
        <v>-5038969.9800000004</v>
      </c>
      <c r="F19" s="22">
        <f t="shared" si="2"/>
        <v>-0.17614996936321636</v>
      </c>
    </row>
    <row r="20" spans="1:6" x14ac:dyDescent="0.2">
      <c r="A20" s="185"/>
      <c r="B20" s="50" t="s">
        <v>140</v>
      </c>
      <c r="C20" s="107">
        <v>14205051</v>
      </c>
      <c r="D20" s="107">
        <f>SUM(D21:D24)</f>
        <v>13672747</v>
      </c>
      <c r="E20" s="107">
        <f t="shared" si="0"/>
        <v>-532304</v>
      </c>
      <c r="F20" s="22">
        <f t="shared" si="2"/>
        <v>-3.7472867925641376E-2</v>
      </c>
    </row>
    <row r="21" spans="1:6" x14ac:dyDescent="0.2">
      <c r="A21" s="185"/>
      <c r="B21" s="56" t="s">
        <v>81</v>
      </c>
      <c r="C21" s="107">
        <v>4043300</v>
      </c>
      <c r="D21" s="107">
        <v>8784997</v>
      </c>
      <c r="E21" s="107">
        <f t="shared" si="0"/>
        <v>4741697</v>
      </c>
      <c r="F21" s="22">
        <f t="shared" si="2"/>
        <v>1.1727294536640862</v>
      </c>
    </row>
    <row r="22" spans="1:6" x14ac:dyDescent="0.2">
      <c r="A22" s="185"/>
      <c r="B22" s="56" t="s">
        <v>63</v>
      </c>
      <c r="C22" s="107">
        <v>6121750</v>
      </c>
      <c r="D22" s="107">
        <v>1373750</v>
      </c>
      <c r="E22" s="107">
        <f t="shared" si="0"/>
        <v>-4748000</v>
      </c>
      <c r="F22" s="22">
        <f t="shared" si="2"/>
        <v>-0.77559521378690732</v>
      </c>
    </row>
    <row r="23" spans="1:6" x14ac:dyDescent="0.2">
      <c r="A23" s="185"/>
      <c r="B23" s="56" t="s">
        <v>141</v>
      </c>
      <c r="C23" s="107">
        <v>240001</v>
      </c>
      <c r="D23" s="107">
        <v>354000</v>
      </c>
      <c r="E23" s="107">
        <f t="shared" si="0"/>
        <v>113999</v>
      </c>
      <c r="F23" s="22">
        <f t="shared" si="2"/>
        <v>0.47499385419227419</v>
      </c>
    </row>
    <row r="24" spans="1:6" x14ac:dyDescent="0.2">
      <c r="A24" s="185"/>
      <c r="B24" s="56" t="s">
        <v>142</v>
      </c>
      <c r="C24" s="107">
        <v>3800000</v>
      </c>
      <c r="D24" s="107">
        <v>3160000</v>
      </c>
      <c r="E24" s="107">
        <f t="shared" si="0"/>
        <v>-640000</v>
      </c>
      <c r="F24" s="22">
        <f t="shared" si="2"/>
        <v>-0.16842105263157894</v>
      </c>
    </row>
    <row r="25" spans="1:6" s="48" customFormat="1" ht="11.25" x14ac:dyDescent="0.2">
      <c r="A25" s="185"/>
      <c r="B25" s="59" t="s">
        <v>111</v>
      </c>
      <c r="C25" s="102">
        <v>96117253</v>
      </c>
      <c r="D25" s="102">
        <f>+D20+D15</f>
        <v>102845603.77</v>
      </c>
      <c r="E25" s="102">
        <f t="shared" si="0"/>
        <v>6728350.7699999958</v>
      </c>
      <c r="F25" s="61">
        <f t="shared" si="2"/>
        <v>7.0001488390434921E-2</v>
      </c>
    </row>
    <row r="26" spans="1:6" ht="11.25" customHeight="1" x14ac:dyDescent="0.2">
      <c r="A26" s="179" t="s">
        <v>371</v>
      </c>
      <c r="B26" s="179"/>
      <c r="C26" s="179"/>
      <c r="D26" s="179"/>
      <c r="E26" s="179"/>
      <c r="F26" s="179"/>
    </row>
  </sheetData>
  <mergeCells count="5">
    <mergeCell ref="A1:F1"/>
    <mergeCell ref="A2:B2"/>
    <mergeCell ref="A3:A14"/>
    <mergeCell ref="A15:A25"/>
    <mergeCell ref="A26:F26"/>
  </mergeCells>
  <pageMargins left="1.1811023622047243" right="0.74803149606299213" top="1.3775590551181103" bottom="1.3775590551181103" header="0.98385826771653528" footer="0.98385826771653528"/>
  <pageSetup paperSize="0" fitToWidth="0" fitToHeight="0" orientation="portrait" horizontalDpi="0" verticalDpi="0" copies="0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9"/>
  </sheetPr>
  <dimension ref="A1:AMJ27"/>
  <sheetViews>
    <sheetView workbookViewId="0"/>
  </sheetViews>
  <sheetFormatPr baseColWidth="10" defaultRowHeight="14.25" x14ac:dyDescent="0.2"/>
  <cols>
    <col min="1" max="1024" width="10.125" style="1" customWidth="1"/>
  </cols>
  <sheetData>
    <row r="1" spans="1:4" x14ac:dyDescent="0.2">
      <c r="A1" s="1" t="s">
        <v>43</v>
      </c>
    </row>
    <row r="2" spans="1:4" ht="33.75" x14ac:dyDescent="0.2">
      <c r="B2" s="19" t="s">
        <v>69</v>
      </c>
      <c r="C2" s="19" t="s">
        <v>70</v>
      </c>
      <c r="D2" s="19" t="s">
        <v>71</v>
      </c>
    </row>
    <row r="3" spans="1:4" x14ac:dyDescent="0.2">
      <c r="A3" s="20">
        <v>2001</v>
      </c>
      <c r="B3" s="21">
        <v>950.49198000000001</v>
      </c>
      <c r="C3" s="22">
        <v>7.08461330850918E-2</v>
      </c>
      <c r="D3" s="22">
        <v>5.3429321798273602E-2</v>
      </c>
    </row>
    <row r="4" spans="1:4" x14ac:dyDescent="0.2">
      <c r="A4" s="20">
        <v>2002</v>
      </c>
      <c r="B4" s="21">
        <v>1069.8025399999999</v>
      </c>
      <c r="C4" s="22">
        <v>0.12552505703414801</v>
      </c>
      <c r="D4" s="22">
        <v>5.6964663887981902E-2</v>
      </c>
    </row>
    <row r="5" spans="1:4" x14ac:dyDescent="0.2">
      <c r="A5" s="20">
        <v>2003</v>
      </c>
      <c r="B5" s="21">
        <v>1796.61</v>
      </c>
      <c r="C5" s="22">
        <v>0.67938468345756597</v>
      </c>
      <c r="D5" s="22">
        <v>9.1231135125121904E-2</v>
      </c>
    </row>
    <row r="6" spans="1:4" x14ac:dyDescent="0.2">
      <c r="A6" s="20">
        <v>2004</v>
      </c>
      <c r="B6" s="21">
        <v>1859.18568</v>
      </c>
      <c r="C6" s="22">
        <v>3.4829862908477602E-2</v>
      </c>
      <c r="D6" s="22">
        <v>8.8600785432569107E-2</v>
      </c>
    </row>
    <row r="7" spans="1:4" x14ac:dyDescent="0.2">
      <c r="A7" s="20">
        <v>2005</v>
      </c>
      <c r="B7" s="21">
        <v>2587.788967</v>
      </c>
      <c r="C7" s="22">
        <v>0.39189377093308903</v>
      </c>
      <c r="D7" s="22">
        <v>0.114490369990671</v>
      </c>
    </row>
    <row r="8" spans="1:4" x14ac:dyDescent="0.2">
      <c r="A8" s="20">
        <v>2006</v>
      </c>
      <c r="B8" s="21">
        <v>2713.9744599999999</v>
      </c>
      <c r="C8" s="22">
        <v>4.8761894655685797E-2</v>
      </c>
      <c r="D8" s="22">
        <v>0.111094014952151</v>
      </c>
    </row>
    <row r="9" spans="1:4" x14ac:dyDescent="0.2">
      <c r="A9" s="20">
        <v>2007</v>
      </c>
      <c r="B9" s="21">
        <v>2894.3845900000001</v>
      </c>
      <c r="C9" s="22">
        <v>6.6474512807316505E-2</v>
      </c>
      <c r="D9" s="22">
        <v>0.110705674789945</v>
      </c>
    </row>
    <row r="10" spans="1:4" x14ac:dyDescent="0.2">
      <c r="A10" s="20">
        <v>2008</v>
      </c>
      <c r="B10" s="21">
        <v>3787.2672600000001</v>
      </c>
      <c r="C10" s="22">
        <v>0.30848791590615798</v>
      </c>
      <c r="D10" s="22">
        <v>0.13926918952265099</v>
      </c>
    </row>
    <row r="11" spans="1:4" x14ac:dyDescent="0.2">
      <c r="A11" s="20">
        <v>2009</v>
      </c>
      <c r="B11" s="21">
        <v>4037.4755500000001</v>
      </c>
      <c r="C11" s="22">
        <v>6.6065654421230399E-2</v>
      </c>
      <c r="D11" s="22">
        <v>0.15437822745650301</v>
      </c>
    </row>
    <row r="12" spans="1:4" x14ac:dyDescent="0.2">
      <c r="A12" s="20">
        <v>2010</v>
      </c>
      <c r="B12" s="21">
        <v>3844.7977639999999</v>
      </c>
      <c r="C12" s="22">
        <v>-4.77223412535588E-2</v>
      </c>
      <c r="D12" s="22">
        <v>0.146778493609245</v>
      </c>
    </row>
    <row r="13" spans="1:4" x14ac:dyDescent="0.2">
      <c r="A13" s="20">
        <v>2011</v>
      </c>
      <c r="B13" s="21">
        <v>3384.4302750000002</v>
      </c>
      <c r="C13" s="22">
        <v>-0.119737764443831</v>
      </c>
      <c r="D13" s="22">
        <v>0.13001988217639401</v>
      </c>
    </row>
    <row r="14" spans="1:4" x14ac:dyDescent="0.2">
      <c r="A14" s="20">
        <v>2012</v>
      </c>
      <c r="B14" s="21">
        <v>3674.9023219999999</v>
      </c>
      <c r="C14" s="22">
        <v>8.5825980563301901E-2</v>
      </c>
      <c r="D14" s="22">
        <v>0.143290558905351</v>
      </c>
    </row>
    <row r="15" spans="1:4" x14ac:dyDescent="0.2">
      <c r="A15" s="20">
        <v>2013</v>
      </c>
      <c r="B15" s="21">
        <v>3574.2468709999998</v>
      </c>
      <c r="C15" s="22">
        <v>-2.7389966366567299E-2</v>
      </c>
      <c r="D15" s="22">
        <v>0.14012265534712701</v>
      </c>
    </row>
    <row r="16" spans="1:4" x14ac:dyDescent="0.2">
      <c r="A16" s="20">
        <v>2014</v>
      </c>
      <c r="B16" s="21">
        <v>3850.9335179999998</v>
      </c>
      <c r="C16" s="22">
        <v>7.7411174153896298E-2</v>
      </c>
      <c r="D16" s="22">
        <v>0.146419508525367</v>
      </c>
    </row>
    <row r="17" spans="1:16" x14ac:dyDescent="0.2">
      <c r="A17" s="20">
        <v>2015</v>
      </c>
      <c r="B17" s="21">
        <v>4035.5919520000002</v>
      </c>
      <c r="C17" s="22">
        <v>4.7951602679420703E-2</v>
      </c>
      <c r="D17" s="22">
        <v>0.14612316263497699</v>
      </c>
    </row>
    <row r="18" spans="1:16" x14ac:dyDescent="0.2">
      <c r="A18" s="20">
        <v>2016</v>
      </c>
      <c r="B18" s="21">
        <v>4240.8966979999996</v>
      </c>
      <c r="C18" s="22">
        <v>5.0873514577769202E-2</v>
      </c>
      <c r="D18" s="22">
        <v>0.145564575988997</v>
      </c>
    </row>
    <row r="19" spans="1:16" x14ac:dyDescent="0.2">
      <c r="A19" s="20">
        <v>2017</v>
      </c>
      <c r="B19" s="21">
        <v>4668.2358940000004</v>
      </c>
      <c r="C19" s="22">
        <v>0.100766235641046</v>
      </c>
      <c r="D19" s="22">
        <v>0.15337926244993599</v>
      </c>
    </row>
    <row r="20" spans="1:16" x14ac:dyDescent="0.2">
      <c r="A20" s="20">
        <v>2018</v>
      </c>
      <c r="B20" s="21">
        <v>5008.8091000000004</v>
      </c>
      <c r="C20" s="22">
        <v>7.2955440498996896E-2</v>
      </c>
      <c r="D20" s="22">
        <v>0.15905642885559301</v>
      </c>
    </row>
    <row r="21" spans="1:16" x14ac:dyDescent="0.2">
      <c r="A21" s="20">
        <v>2019</v>
      </c>
      <c r="B21" s="21">
        <v>5457.7486399999998</v>
      </c>
      <c r="C21" s="22">
        <v>8.9629996080305793E-2</v>
      </c>
      <c r="D21" s="23">
        <v>0.168713283027491</v>
      </c>
    </row>
    <row r="22" spans="1:16" x14ac:dyDescent="0.2">
      <c r="A22" s="20">
        <v>2020</v>
      </c>
      <c r="B22" s="21">
        <v>5869.8878699999996</v>
      </c>
      <c r="C22" s="22">
        <f>(B22-B21)/B21</f>
        <v>7.5514512885298396E-2</v>
      </c>
      <c r="D22" s="24">
        <v>0.1961</v>
      </c>
      <c r="F22" s="178" t="s">
        <v>72</v>
      </c>
      <c r="G22" s="178"/>
      <c r="H22" s="178"/>
      <c r="I22" s="178"/>
      <c r="J22" s="178"/>
      <c r="K22" s="178"/>
      <c r="L22" s="178"/>
      <c r="P22" s="1">
        <f>5893000000/25646/1171543</f>
        <v>0.19613656708297625</v>
      </c>
    </row>
    <row r="27" spans="1:16" x14ac:dyDescent="0.2">
      <c r="J27" s="25"/>
      <c r="K27" s="25"/>
    </row>
  </sheetData>
  <mergeCells count="1">
    <mergeCell ref="F22:L22"/>
  </mergeCells>
  <pageMargins left="0.74999999999999989" right="0.74999999999999989" top="1.393700787401575" bottom="1.393700787401575" header="1" footer="1"/>
  <pageSetup paperSize="0" fitToWidth="0" fitToHeight="0" orientation="portrait" horizontalDpi="0" verticalDpi="0" copies="0"/>
  <headerFooter alignWithMargins="0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9"/>
  </sheetPr>
  <dimension ref="A1:AMJ18"/>
  <sheetViews>
    <sheetView workbookViewId="0">
      <selection sqref="A1:G1"/>
    </sheetView>
  </sheetViews>
  <sheetFormatPr baseColWidth="10" defaultRowHeight="14.25" x14ac:dyDescent="0.2"/>
  <cols>
    <col min="1" max="1" width="25.75" style="1" customWidth="1"/>
    <col min="2" max="4" width="10.125" style="1" customWidth="1"/>
    <col min="5" max="7" width="8.625" style="1" customWidth="1"/>
    <col min="8" max="1024" width="10.125" style="1" customWidth="1"/>
  </cols>
  <sheetData>
    <row r="1" spans="1:9" ht="21.95" customHeight="1" x14ac:dyDescent="0.2">
      <c r="A1" s="173" t="s">
        <v>73</v>
      </c>
      <c r="B1" s="173"/>
      <c r="C1" s="173"/>
      <c r="D1" s="173"/>
      <c r="E1" s="173"/>
      <c r="F1" s="173"/>
      <c r="G1" s="173"/>
    </row>
    <row r="2" spans="1:9" x14ac:dyDescent="0.2">
      <c r="A2" s="174"/>
      <c r="B2" s="175" t="s">
        <v>49</v>
      </c>
      <c r="C2" s="175"/>
      <c r="D2" s="176" t="s">
        <v>50</v>
      </c>
      <c r="E2" s="176"/>
      <c r="F2" s="177" t="s">
        <v>51</v>
      </c>
      <c r="G2" s="177"/>
    </row>
    <row r="3" spans="1:9" x14ac:dyDescent="0.2">
      <c r="A3" s="174"/>
      <c r="B3" s="3">
        <v>2019</v>
      </c>
      <c r="C3" s="3">
        <v>2020</v>
      </c>
      <c r="D3" s="5" t="s">
        <v>74</v>
      </c>
      <c r="E3" s="3" t="s">
        <v>75</v>
      </c>
      <c r="F3" s="3">
        <v>2019</v>
      </c>
      <c r="G3" s="3">
        <v>2020</v>
      </c>
    </row>
    <row r="4" spans="1:9" x14ac:dyDescent="0.2">
      <c r="A4" s="2" t="s">
        <v>55</v>
      </c>
      <c r="B4" s="26">
        <f>SUM(B5:B9)</f>
        <v>3822146.6630000006</v>
      </c>
      <c r="C4" s="26">
        <v>3819802.6409999998</v>
      </c>
      <c r="D4" s="26">
        <f t="shared" ref="D4:D17" si="0">C4-B4</f>
        <v>-2344.0220000008121</v>
      </c>
      <c r="E4" s="27">
        <f t="shared" ref="E4:E17" si="1">((C4/B4)-1)*100</f>
        <v>-6.1327369320807179E-2</v>
      </c>
      <c r="F4" s="27">
        <v>70.592051931066806</v>
      </c>
      <c r="G4" s="27">
        <f t="shared" ref="G4:G16" si="2">C4*100/$C$17</f>
        <v>64.817961418075043</v>
      </c>
      <c r="I4" s="1" t="s">
        <v>76</v>
      </c>
    </row>
    <row r="5" spans="1:9" x14ac:dyDescent="0.2">
      <c r="A5" s="14" t="s">
        <v>77</v>
      </c>
      <c r="B5" s="26">
        <v>1642290.9639999999</v>
      </c>
      <c r="C5" s="26">
        <v>1673337.67</v>
      </c>
      <c r="D5" s="26">
        <f t="shared" si="0"/>
        <v>31046.706000000006</v>
      </c>
      <c r="E5" s="27">
        <f t="shared" si="1"/>
        <v>1.8904510029320143</v>
      </c>
      <c r="F5" s="27">
        <v>30.9166123939521</v>
      </c>
      <c r="G5" s="27">
        <f t="shared" si="2"/>
        <v>28.394748820079577</v>
      </c>
    </row>
    <row r="6" spans="1:9" x14ac:dyDescent="0.2">
      <c r="A6" s="14" t="s">
        <v>78</v>
      </c>
      <c r="B6" s="26">
        <v>698301.16700000002</v>
      </c>
      <c r="C6" s="26">
        <v>691581.37600000005</v>
      </c>
      <c r="D6" s="26">
        <f t="shared" si="0"/>
        <v>-6719.7909999999683</v>
      </c>
      <c r="E6" s="27">
        <f t="shared" si="1"/>
        <v>-0.96230556636029974</v>
      </c>
      <c r="F6" s="27">
        <v>12.875880076962799</v>
      </c>
      <c r="G6" s="27">
        <f t="shared" si="2"/>
        <v>11.735395558366299</v>
      </c>
    </row>
    <row r="7" spans="1:9" x14ac:dyDescent="0.2">
      <c r="A7" s="14" t="s">
        <v>79</v>
      </c>
      <c r="B7" s="26">
        <v>123619.45299999999</v>
      </c>
      <c r="C7" s="26">
        <v>119622.524</v>
      </c>
      <c r="D7" s="26">
        <f t="shared" si="0"/>
        <v>-3996.9289999999892</v>
      </c>
      <c r="E7" s="27">
        <f t="shared" si="1"/>
        <v>-3.2332524558250419</v>
      </c>
      <c r="F7" s="27">
        <v>2.2849106187736301</v>
      </c>
      <c r="G7" s="27">
        <f t="shared" si="2"/>
        <v>2.0298661669428268</v>
      </c>
    </row>
    <row r="8" spans="1:9" x14ac:dyDescent="0.2">
      <c r="A8" s="14" t="s">
        <v>59</v>
      </c>
      <c r="B8" s="26">
        <v>1335764.76</v>
      </c>
      <c r="C8" s="26">
        <v>1313341.9010000001</v>
      </c>
      <c r="D8" s="26">
        <f t="shared" si="0"/>
        <v>-22422.858999999939</v>
      </c>
      <c r="E8" s="27">
        <f t="shared" si="1"/>
        <v>-1.6786532832322898</v>
      </c>
      <c r="F8" s="27">
        <v>24.1067131706018</v>
      </c>
      <c r="G8" s="27">
        <f t="shared" si="2"/>
        <v>22.286006023984879</v>
      </c>
    </row>
    <row r="9" spans="1:9" x14ac:dyDescent="0.2">
      <c r="A9" s="14" t="s">
        <v>80</v>
      </c>
      <c r="B9" s="26">
        <v>22170.319</v>
      </c>
      <c r="C9" s="26">
        <v>21919.17</v>
      </c>
      <c r="D9" s="26">
        <f t="shared" si="0"/>
        <v>-251.14900000000125</v>
      </c>
      <c r="E9" s="27">
        <f t="shared" si="1"/>
        <v>-1.1328163568598226</v>
      </c>
      <c r="F9" s="27">
        <v>0.40793567077651199</v>
      </c>
      <c r="G9" s="27">
        <f t="shared" si="2"/>
        <v>0.37194484870147199</v>
      </c>
    </row>
    <row r="10" spans="1:9" x14ac:dyDescent="0.2">
      <c r="A10" s="2" t="s">
        <v>61</v>
      </c>
      <c r="B10" s="26">
        <f>SUM(B11:B12)</f>
        <v>611917.08700000006</v>
      </c>
      <c r="C10" s="26">
        <v>564031.353</v>
      </c>
      <c r="D10" s="26">
        <f t="shared" si="0"/>
        <v>-47885.734000000055</v>
      </c>
      <c r="E10" s="27">
        <f t="shared" si="1"/>
        <v>-7.825526532485938</v>
      </c>
      <c r="F10" s="27">
        <v>10.995080766803399</v>
      </c>
      <c r="G10" s="27">
        <f t="shared" si="2"/>
        <v>9.5710082204057692</v>
      </c>
    </row>
    <row r="11" spans="1:9" x14ac:dyDescent="0.2">
      <c r="A11" s="14" t="s">
        <v>81</v>
      </c>
      <c r="B11" s="26">
        <v>202652.51500000001</v>
      </c>
      <c r="C11" s="26">
        <v>184287.872</v>
      </c>
      <c r="D11" s="26">
        <f t="shared" si="0"/>
        <v>-18364.643000000011</v>
      </c>
      <c r="E11" s="27">
        <f t="shared" si="1"/>
        <v>-9.0621342646549525</v>
      </c>
      <c r="F11" s="27">
        <v>3.5967635300774399</v>
      </c>
      <c r="G11" s="27">
        <f t="shared" si="2"/>
        <v>3.1271678931527167</v>
      </c>
    </row>
    <row r="12" spans="1:9" x14ac:dyDescent="0.2">
      <c r="A12" s="14" t="s">
        <v>63</v>
      </c>
      <c r="B12" s="26">
        <v>409264.57199999999</v>
      </c>
      <c r="C12" s="26">
        <v>379743.48100000003</v>
      </c>
      <c r="D12" s="26">
        <f t="shared" si="0"/>
        <v>-29521.090999999957</v>
      </c>
      <c r="E12" s="27">
        <f t="shared" si="1"/>
        <v>-7.2132046162060597</v>
      </c>
      <c r="F12" s="27">
        <v>7.3983172367259904</v>
      </c>
      <c r="G12" s="27">
        <f t="shared" si="2"/>
        <v>6.4438403272530538</v>
      </c>
    </row>
    <row r="13" spans="1:9" x14ac:dyDescent="0.2">
      <c r="A13" s="6" t="s">
        <v>82</v>
      </c>
      <c r="B13" s="28">
        <f>B10+B4</f>
        <v>4434063.7500000009</v>
      </c>
      <c r="C13" s="28">
        <v>4383833.9939999999</v>
      </c>
      <c r="D13" s="28">
        <f t="shared" si="0"/>
        <v>-50229.756000000983</v>
      </c>
      <c r="E13" s="29">
        <f t="shared" si="1"/>
        <v>-1.1328153773161431</v>
      </c>
      <c r="F13" s="29">
        <v>81.587132697870302</v>
      </c>
      <c r="G13" s="29">
        <f t="shared" si="2"/>
        <v>74.388969638480816</v>
      </c>
    </row>
    <row r="14" spans="1:9" x14ac:dyDescent="0.2">
      <c r="A14" s="2" t="s">
        <v>65</v>
      </c>
      <c r="B14" s="26">
        <v>34058.03</v>
      </c>
      <c r="C14" s="26">
        <v>31226.358</v>
      </c>
      <c r="D14" s="26">
        <f t="shared" si="0"/>
        <v>-2831.6719999999987</v>
      </c>
      <c r="E14" s="27">
        <f t="shared" si="1"/>
        <v>-8.3142565791386005</v>
      </c>
      <c r="F14" s="27">
        <v>0.99971893518561095</v>
      </c>
      <c r="G14" s="27">
        <f t="shared" si="2"/>
        <v>0.52987786498339118</v>
      </c>
    </row>
    <row r="15" spans="1:9" x14ac:dyDescent="0.2">
      <c r="A15" s="2" t="s">
        <v>66</v>
      </c>
      <c r="B15" s="26">
        <v>989626.86</v>
      </c>
      <c r="C15" s="26">
        <v>1478063.34</v>
      </c>
      <c r="D15" s="26">
        <f t="shared" si="0"/>
        <v>488436.4800000001</v>
      </c>
      <c r="E15" s="27">
        <f t="shared" si="1"/>
        <v>49.355620763971601</v>
      </c>
      <c r="F15" s="27">
        <v>17.4131483669441</v>
      </c>
      <c r="G15" s="27">
        <f t="shared" si="2"/>
        <v>25.08115249653579</v>
      </c>
    </row>
    <row r="16" spans="1:9" x14ac:dyDescent="0.2">
      <c r="A16" s="6" t="s">
        <v>64</v>
      </c>
      <c r="B16" s="28">
        <f>SUM(B14:B15)</f>
        <v>1023684.89</v>
      </c>
      <c r="C16" s="28">
        <v>1509289.6980000001</v>
      </c>
      <c r="D16" s="28">
        <f t="shared" si="0"/>
        <v>485604.80800000008</v>
      </c>
      <c r="E16" s="29">
        <f t="shared" si="1"/>
        <v>47.436942045710964</v>
      </c>
      <c r="F16" s="29">
        <v>18.412867302129801</v>
      </c>
      <c r="G16" s="29">
        <f t="shared" si="2"/>
        <v>25.61103036151918</v>
      </c>
    </row>
    <row r="17" spans="1:7" x14ac:dyDescent="0.2">
      <c r="A17" s="6" t="s">
        <v>83</v>
      </c>
      <c r="B17" s="28">
        <f>B16+B13</f>
        <v>5457748.6400000006</v>
      </c>
      <c r="C17" s="28">
        <v>5893123.6919999998</v>
      </c>
      <c r="D17" s="28">
        <f t="shared" si="0"/>
        <v>435375.05199999921</v>
      </c>
      <c r="E17" s="29">
        <f t="shared" si="1"/>
        <v>7.977191342399359</v>
      </c>
      <c r="F17" s="29">
        <v>100</v>
      </c>
      <c r="G17" s="29">
        <v>100</v>
      </c>
    </row>
    <row r="18" spans="1:7" ht="11.25" customHeight="1" x14ac:dyDescent="0.2">
      <c r="A18" s="172" t="s">
        <v>68</v>
      </c>
      <c r="B18" s="172"/>
      <c r="C18" s="172"/>
      <c r="D18" s="172"/>
      <c r="E18" s="172"/>
      <c r="F18" s="172"/>
      <c r="G18" s="172"/>
    </row>
  </sheetData>
  <mergeCells count="6">
    <mergeCell ref="A18:G18"/>
    <mergeCell ref="A1:G1"/>
    <mergeCell ref="A2:A3"/>
    <mergeCell ref="B2:C2"/>
    <mergeCell ref="D2:E2"/>
    <mergeCell ref="F2:G2"/>
  </mergeCells>
  <pageMargins left="0.74999999999999989" right="0.74999999999999989" top="1.393700787401575" bottom="1.393700787401575" header="1" footer="1"/>
  <pageSetup paperSize="0" fitToWidth="0" fitToHeight="0" orientation="portrait" horizontalDpi="0" verticalDpi="0" copies="0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theme="9"/>
  </sheetPr>
  <dimension ref="A1:AMJ11"/>
  <sheetViews>
    <sheetView workbookViewId="0">
      <selection sqref="A1:G1"/>
    </sheetView>
  </sheetViews>
  <sheetFormatPr baseColWidth="10" defaultRowHeight="14.25" x14ac:dyDescent="0.2"/>
  <cols>
    <col min="1" max="1" width="17" style="1" customWidth="1"/>
    <col min="2" max="6" width="8.5" style="1" customWidth="1"/>
    <col min="7" max="7" width="9.25" style="1" customWidth="1"/>
    <col min="8" max="9" width="8.125" style="1" customWidth="1"/>
    <col min="10" max="10" width="7.375" style="1" customWidth="1"/>
    <col min="11" max="11" width="7.75" style="1" customWidth="1"/>
    <col min="12" max="17" width="6.75" style="1" customWidth="1"/>
    <col min="18" max="1024" width="10.125" style="1" customWidth="1"/>
  </cols>
  <sheetData>
    <row r="1" spans="1:17" x14ac:dyDescent="0.2">
      <c r="A1" s="180" t="s">
        <v>84</v>
      </c>
      <c r="B1" s="180"/>
      <c r="C1" s="180"/>
      <c r="D1" s="180"/>
      <c r="E1" s="180"/>
      <c r="F1" s="180"/>
      <c r="G1" s="180"/>
      <c r="H1" s="180"/>
      <c r="I1" s="180"/>
      <c r="J1" s="180"/>
      <c r="K1" s="180"/>
      <c r="L1" s="180"/>
      <c r="M1" s="180"/>
      <c r="N1" s="180"/>
      <c r="O1" s="180"/>
      <c r="P1" s="180"/>
      <c r="Q1" s="180"/>
    </row>
    <row r="2" spans="1:17" x14ac:dyDescent="0.2">
      <c r="A2" s="174"/>
      <c r="B2" s="175" t="s">
        <v>49</v>
      </c>
      <c r="C2" s="175"/>
      <c r="D2" s="175"/>
      <c r="E2" s="175"/>
      <c r="F2" s="175"/>
      <c r="G2" s="175"/>
      <c r="H2" s="175" t="s">
        <v>50</v>
      </c>
      <c r="I2" s="175"/>
      <c r="J2" s="175"/>
      <c r="K2" s="175"/>
      <c r="L2" s="175" t="s">
        <v>51</v>
      </c>
      <c r="M2" s="175"/>
      <c r="N2" s="175"/>
      <c r="O2" s="175"/>
      <c r="P2" s="175"/>
      <c r="Q2" s="175"/>
    </row>
    <row r="3" spans="1:17" x14ac:dyDescent="0.2">
      <c r="A3" s="174"/>
      <c r="B3" s="3">
        <v>2015</v>
      </c>
      <c r="C3" s="3">
        <v>2016</v>
      </c>
      <c r="D3" s="3">
        <v>2017</v>
      </c>
      <c r="E3" s="3">
        <v>2018</v>
      </c>
      <c r="F3" s="3">
        <v>2019</v>
      </c>
      <c r="G3" s="3">
        <v>2020</v>
      </c>
      <c r="H3" s="3" t="s">
        <v>85</v>
      </c>
      <c r="I3" s="3" t="s">
        <v>86</v>
      </c>
      <c r="J3" s="3" t="s">
        <v>87</v>
      </c>
      <c r="K3" s="3" t="s">
        <v>88</v>
      </c>
      <c r="L3" s="3">
        <v>2015</v>
      </c>
      <c r="M3" s="3">
        <v>2016</v>
      </c>
      <c r="N3" s="3">
        <v>2017</v>
      </c>
      <c r="O3" s="3">
        <v>2018</v>
      </c>
      <c r="P3" s="3">
        <v>2019</v>
      </c>
      <c r="Q3" s="3">
        <v>2020</v>
      </c>
    </row>
    <row r="4" spans="1:17" x14ac:dyDescent="0.2">
      <c r="A4" s="2" t="s">
        <v>89</v>
      </c>
      <c r="B4" s="31">
        <v>30958.850999999999</v>
      </c>
      <c r="C4" s="31">
        <v>39197.406999999999</v>
      </c>
      <c r="D4" s="31">
        <v>44478.195</v>
      </c>
      <c r="E4" s="31">
        <v>48118.262000000002</v>
      </c>
      <c r="F4" s="31">
        <v>51543.209000000003</v>
      </c>
      <c r="G4" s="31">
        <v>47360.156000000003</v>
      </c>
      <c r="H4" s="31">
        <f t="shared" ref="H4:H10" si="0">G4-B4</f>
        <v>16401.305000000004</v>
      </c>
      <c r="I4" s="31">
        <f t="shared" ref="I4:I10" si="1">G4-F4</f>
        <v>-4183.0529999999999</v>
      </c>
      <c r="J4" s="32">
        <f t="shared" ref="J4:J10" si="2">((G4/B4)-1)</f>
        <v>0.52977757475560083</v>
      </c>
      <c r="K4" s="32">
        <f t="shared" ref="K4:K10" si="3">((G4/F4)-1)</f>
        <v>-8.1156239224453364E-2</v>
      </c>
      <c r="L4" s="33">
        <f t="shared" ref="L4:L10" si="4">B4/119546.11</f>
        <v>0.25896995728259165</v>
      </c>
      <c r="M4" s="33">
        <f t="shared" ref="M4:M10" si="5">C4/124567.36</f>
        <v>0.31466836095747713</v>
      </c>
      <c r="N4" s="33">
        <v>0.30659027654421001</v>
      </c>
      <c r="O4" s="33">
        <v>0.32617017777730201</v>
      </c>
      <c r="P4" s="33">
        <f t="shared" ref="P4:P9" si="6">F4/157391.551</f>
        <v>0.32748396386283785</v>
      </c>
      <c r="Q4" s="33">
        <f t="shared" ref="Q4:Q10" si="7">G4/150017.35</f>
        <v>0.31569785761446928</v>
      </c>
    </row>
    <row r="5" spans="1:17" x14ac:dyDescent="0.2">
      <c r="A5" s="2" t="s">
        <v>90</v>
      </c>
      <c r="B5" s="31">
        <v>30058.467000000001</v>
      </c>
      <c r="C5" s="31">
        <v>30974.03</v>
      </c>
      <c r="D5" s="31">
        <v>38629.898999999998</v>
      </c>
      <c r="E5" s="31">
        <v>37647.845999999998</v>
      </c>
      <c r="F5" s="31">
        <v>37520.542999999998</v>
      </c>
      <c r="G5" s="31">
        <v>38347.218999999997</v>
      </c>
      <c r="H5" s="31">
        <f t="shared" si="0"/>
        <v>8288.7519999999968</v>
      </c>
      <c r="I5" s="31">
        <f t="shared" si="1"/>
        <v>826.67599999999948</v>
      </c>
      <c r="J5" s="32">
        <f t="shared" si="2"/>
        <v>0.27575431574737319</v>
      </c>
      <c r="K5" s="32">
        <f t="shared" si="3"/>
        <v>2.2032623568374321E-2</v>
      </c>
      <c r="L5" s="33">
        <f t="shared" si="4"/>
        <v>0.25143826930043983</v>
      </c>
      <c r="M5" s="33">
        <f t="shared" si="5"/>
        <v>0.24865285737772719</v>
      </c>
      <c r="N5" s="33">
        <v>0.266277698932812</v>
      </c>
      <c r="O5" s="33">
        <v>0.25519634567749899</v>
      </c>
      <c r="P5" s="33">
        <f t="shared" si="6"/>
        <v>0.23838981674435622</v>
      </c>
      <c r="Q5" s="33">
        <f t="shared" si="7"/>
        <v>0.25561856011987943</v>
      </c>
    </row>
    <row r="6" spans="1:17" x14ac:dyDescent="0.2">
      <c r="A6" s="2" t="s">
        <v>91</v>
      </c>
      <c r="B6" s="31">
        <v>16408.835999999999</v>
      </c>
      <c r="C6" s="31">
        <v>14908.745000000001</v>
      </c>
      <c r="D6" s="31">
        <v>17580.616999999998</v>
      </c>
      <c r="E6" s="31">
        <v>16977.805</v>
      </c>
      <c r="F6" s="31">
        <v>18515.026999999998</v>
      </c>
      <c r="G6" s="31">
        <v>17340.037</v>
      </c>
      <c r="H6" s="31">
        <f t="shared" si="0"/>
        <v>931.20100000000093</v>
      </c>
      <c r="I6" s="31">
        <f t="shared" si="1"/>
        <v>-1174.989999999998</v>
      </c>
      <c r="J6" s="32">
        <f t="shared" si="2"/>
        <v>5.6749973002350851E-2</v>
      </c>
      <c r="K6" s="32">
        <f t="shared" si="3"/>
        <v>-6.3461425144019423E-2</v>
      </c>
      <c r="L6" s="33">
        <f t="shared" si="4"/>
        <v>0.13725947251650431</v>
      </c>
      <c r="M6" s="33">
        <f t="shared" si="5"/>
        <v>0.11968420138309105</v>
      </c>
      <c r="N6" s="33">
        <v>0.12118401450076501</v>
      </c>
      <c r="O6" s="33">
        <v>0.115084241303611</v>
      </c>
      <c r="P6" s="33">
        <f t="shared" si="6"/>
        <v>0.11763672752675268</v>
      </c>
      <c r="Q6" s="33">
        <f t="shared" si="7"/>
        <v>0.11558687711788003</v>
      </c>
    </row>
    <row r="7" spans="1:17" x14ac:dyDescent="0.2">
      <c r="A7" s="2" t="s">
        <v>92</v>
      </c>
      <c r="B7" s="31">
        <v>8342.6029999999992</v>
      </c>
      <c r="C7" s="31">
        <v>7602.1369999999997</v>
      </c>
      <c r="D7" s="31">
        <v>9323.7090000000007</v>
      </c>
      <c r="E7" s="31">
        <v>8357.5220000000008</v>
      </c>
      <c r="F7" s="31">
        <v>11787.950999999999</v>
      </c>
      <c r="G7" s="31">
        <v>8952.6959999999999</v>
      </c>
      <c r="H7" s="31">
        <f t="shared" si="0"/>
        <v>610.09300000000076</v>
      </c>
      <c r="I7" s="31">
        <f t="shared" si="1"/>
        <v>-2835.2549999999992</v>
      </c>
      <c r="J7" s="32">
        <f t="shared" si="2"/>
        <v>7.3129813320854442E-2</v>
      </c>
      <c r="K7" s="32">
        <f t="shared" si="3"/>
        <v>-0.24052144431207756</v>
      </c>
      <c r="L7" s="33">
        <f t="shared" si="4"/>
        <v>6.9785650072595407E-2</v>
      </c>
      <c r="M7" s="33">
        <f t="shared" si="5"/>
        <v>6.1028322347041794E-2</v>
      </c>
      <c r="N7" s="33">
        <v>6.4268761822005999E-2</v>
      </c>
      <c r="O7" s="33">
        <v>5.6651556461405697E-2</v>
      </c>
      <c r="P7" s="33">
        <f t="shared" si="6"/>
        <v>7.4895703899633084E-2</v>
      </c>
      <c r="Q7" s="33">
        <f t="shared" si="7"/>
        <v>5.9677737275055182E-2</v>
      </c>
    </row>
    <row r="8" spans="1:17" x14ac:dyDescent="0.2">
      <c r="A8" s="2" t="s">
        <v>93</v>
      </c>
      <c r="B8" s="31">
        <v>33091.571000000004</v>
      </c>
      <c r="C8" s="31">
        <v>31541.958999999999</v>
      </c>
      <c r="D8" s="31">
        <v>33778.142</v>
      </c>
      <c r="E8" s="31">
        <v>35628.525000000001</v>
      </c>
      <c r="F8" s="31">
        <v>37293.357000000004</v>
      </c>
      <c r="G8" s="31">
        <f>36446.988+642.076</f>
        <v>37089.063999999998</v>
      </c>
      <c r="H8" s="31">
        <f t="shared" si="0"/>
        <v>3997.4929999999949</v>
      </c>
      <c r="I8" s="31">
        <f t="shared" si="1"/>
        <v>-204.29300000000512</v>
      </c>
      <c r="J8" s="32">
        <f t="shared" si="2"/>
        <v>0.12080094353936821</v>
      </c>
      <c r="K8" s="32">
        <f t="shared" si="3"/>
        <v>-5.4779997413482162E-3</v>
      </c>
      <c r="L8" s="33">
        <f t="shared" si="4"/>
        <v>0.27681010281304846</v>
      </c>
      <c r="M8" s="33">
        <f t="shared" si="5"/>
        <v>0.25321206935749463</v>
      </c>
      <c r="N8" s="33">
        <v>0.23283431121540701</v>
      </c>
      <c r="O8" s="33">
        <v>0.24150835566739801</v>
      </c>
      <c r="P8" s="33">
        <f t="shared" si="6"/>
        <v>0.23694637204509156</v>
      </c>
      <c r="Q8" s="33">
        <f t="shared" si="7"/>
        <v>0.24723183018497524</v>
      </c>
    </row>
    <row r="9" spans="1:17" x14ac:dyDescent="0.2">
      <c r="A9" s="2" t="s">
        <v>94</v>
      </c>
      <c r="B9" s="31">
        <v>685.78200000000004</v>
      </c>
      <c r="C9" s="31">
        <v>343.07799999999997</v>
      </c>
      <c r="D9" s="31">
        <v>1283.1690000000001</v>
      </c>
      <c r="E9" s="31">
        <v>795.05899999999997</v>
      </c>
      <c r="F9" s="31">
        <v>731.46400000000006</v>
      </c>
      <c r="G9" s="31">
        <v>928.17700000000002</v>
      </c>
      <c r="H9" s="31">
        <f t="shared" si="0"/>
        <v>242.39499999999998</v>
      </c>
      <c r="I9" s="31">
        <f t="shared" si="1"/>
        <v>196.71299999999997</v>
      </c>
      <c r="J9" s="32">
        <f t="shared" si="2"/>
        <v>0.35345780437515129</v>
      </c>
      <c r="K9" s="32">
        <f t="shared" si="3"/>
        <v>0.26893052836503228</v>
      </c>
      <c r="L9" s="33">
        <f t="shared" si="4"/>
        <v>5.7365480148203907E-3</v>
      </c>
      <c r="M9" s="33">
        <f t="shared" si="5"/>
        <v>2.7541564660276976E-3</v>
      </c>
      <c r="N9" s="33">
        <v>8.8449438778474901E-3</v>
      </c>
      <c r="O9" s="33">
        <v>5.3893163342733303E-3</v>
      </c>
      <c r="P9" s="33">
        <f t="shared" si="6"/>
        <v>4.6474159213285857E-3</v>
      </c>
      <c r="Q9" s="33">
        <f t="shared" si="7"/>
        <v>6.1871310218451396E-3</v>
      </c>
    </row>
    <row r="10" spans="1:17" x14ac:dyDescent="0.2">
      <c r="A10" s="6" t="s">
        <v>95</v>
      </c>
      <c r="B10" s="34">
        <f t="shared" ref="B10:G10" si="8">SUM(B4:B9)</f>
        <v>119546.11000000002</v>
      </c>
      <c r="C10" s="34">
        <f t="shared" si="8"/>
        <v>124567.356</v>
      </c>
      <c r="D10" s="34">
        <f t="shared" si="8"/>
        <v>145073.731</v>
      </c>
      <c r="E10" s="34">
        <f t="shared" si="8"/>
        <v>147525.019</v>
      </c>
      <c r="F10" s="34">
        <f t="shared" si="8"/>
        <v>157391.55100000001</v>
      </c>
      <c r="G10" s="34">
        <f t="shared" si="8"/>
        <v>150017.34899999999</v>
      </c>
      <c r="H10" s="34">
        <f t="shared" si="0"/>
        <v>30471.238999999972</v>
      </c>
      <c r="I10" s="34">
        <f t="shared" si="1"/>
        <v>-7374.2020000000193</v>
      </c>
      <c r="J10" s="35">
        <f t="shared" si="2"/>
        <v>0.25489109599634796</v>
      </c>
      <c r="K10" s="35">
        <f t="shared" si="3"/>
        <v>-4.6852591216919981E-2</v>
      </c>
      <c r="L10" s="36">
        <f t="shared" si="4"/>
        <v>1.0000000000000002</v>
      </c>
      <c r="M10" s="36">
        <f t="shared" si="5"/>
        <v>0.99999996788885948</v>
      </c>
      <c r="N10" s="36">
        <v>1.0000000068930499</v>
      </c>
      <c r="O10" s="36">
        <v>0.99999999322148903</v>
      </c>
      <c r="P10" s="36">
        <f>SUM(P4:P9)</f>
        <v>1</v>
      </c>
      <c r="Q10" s="36">
        <f t="shared" si="7"/>
        <v>0.99999999333410428</v>
      </c>
    </row>
    <row r="11" spans="1:17" x14ac:dyDescent="0.2">
      <c r="A11" s="179" t="s">
        <v>68</v>
      </c>
      <c r="B11" s="179"/>
      <c r="C11" s="179"/>
      <c r="D11" s="179"/>
      <c r="E11" s="179"/>
      <c r="F11" s="179"/>
      <c r="G11" s="179"/>
      <c r="H11" s="179"/>
      <c r="I11" s="179"/>
      <c r="J11" s="179"/>
      <c r="K11" s="179"/>
      <c r="L11" s="179"/>
      <c r="M11" s="179"/>
      <c r="N11" s="179"/>
      <c r="O11" s="179"/>
      <c r="P11" s="179"/>
      <c r="Q11" s="179"/>
    </row>
  </sheetData>
  <mergeCells count="6">
    <mergeCell ref="A11:Q11"/>
    <mergeCell ref="A1:Q1"/>
    <mergeCell ref="A2:A3"/>
    <mergeCell ref="B2:G2"/>
    <mergeCell ref="H2:K2"/>
    <mergeCell ref="L2:Q2"/>
  </mergeCells>
  <pageMargins left="0.74803149606299213" right="0.74803149606299213" top="1.3775590551181103" bottom="1.3775590551181103" header="0.98385826771653528" footer="0.98385826771653528"/>
  <pageSetup paperSize="0" fitToWidth="0" fitToHeight="0" orientation="portrait" horizontalDpi="0" verticalDpi="0" copies="0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9"/>
  </sheetPr>
  <dimension ref="A1:AMJ22"/>
  <sheetViews>
    <sheetView workbookViewId="0">
      <selection sqref="A1:G1"/>
    </sheetView>
  </sheetViews>
  <sheetFormatPr baseColWidth="10" defaultRowHeight="14.25" x14ac:dyDescent="0.2"/>
  <cols>
    <col min="1" max="1" width="7.625" style="1" customWidth="1"/>
    <col min="2" max="2" width="19.375" style="1" customWidth="1"/>
    <col min="3" max="1024" width="10.125" style="1" customWidth="1"/>
  </cols>
  <sheetData>
    <row r="1" spans="1:12" x14ac:dyDescent="0.2">
      <c r="A1" s="180" t="s">
        <v>96</v>
      </c>
      <c r="B1" s="180"/>
      <c r="C1" s="180"/>
      <c r="D1" s="180"/>
      <c r="E1" s="180"/>
      <c r="F1" s="180"/>
      <c r="G1" s="180"/>
      <c r="H1" s="180"/>
      <c r="I1" s="180"/>
      <c r="J1" s="180"/>
      <c r="K1" s="180"/>
      <c r="L1" s="180"/>
    </row>
    <row r="2" spans="1:12" x14ac:dyDescent="0.2">
      <c r="A2" s="174"/>
      <c r="B2" s="174"/>
      <c r="C2" s="175" t="s">
        <v>97</v>
      </c>
      <c r="D2" s="175"/>
      <c r="E2" s="177" t="s">
        <v>98</v>
      </c>
      <c r="F2" s="177"/>
      <c r="G2" s="175" t="s">
        <v>99</v>
      </c>
      <c r="H2" s="175"/>
      <c r="I2" s="175" t="s">
        <v>100</v>
      </c>
      <c r="J2" s="175"/>
      <c r="K2" s="175" t="s">
        <v>101</v>
      </c>
      <c r="L2" s="175"/>
    </row>
    <row r="3" spans="1:12" x14ac:dyDescent="0.2">
      <c r="A3" s="174"/>
      <c r="B3" s="174"/>
      <c r="C3" s="3" t="s">
        <v>102</v>
      </c>
      <c r="D3" s="3" t="s">
        <v>103</v>
      </c>
      <c r="E3" s="3" t="s">
        <v>102</v>
      </c>
      <c r="F3" s="3" t="s">
        <v>103</v>
      </c>
      <c r="G3" s="3" t="s">
        <v>102</v>
      </c>
      <c r="H3" s="3" t="s">
        <v>103</v>
      </c>
      <c r="I3" s="3" t="s">
        <v>102</v>
      </c>
      <c r="J3" s="3" t="s">
        <v>103</v>
      </c>
      <c r="K3" s="3" t="s">
        <v>102</v>
      </c>
      <c r="L3" s="3" t="s">
        <v>103</v>
      </c>
    </row>
    <row r="4" spans="1:12" x14ac:dyDescent="0.2">
      <c r="A4" s="181" t="s">
        <v>104</v>
      </c>
      <c r="B4" s="2" t="s">
        <v>105</v>
      </c>
      <c r="C4" s="31">
        <v>98437.322</v>
      </c>
      <c r="D4" s="37">
        <f t="shared" ref="D4:D20" si="0">C4/697244.48</f>
        <v>0.14118049668890889</v>
      </c>
      <c r="E4" s="31">
        <v>28330.762999999999</v>
      </c>
      <c r="F4" s="37">
        <f t="shared" ref="F4:F10" si="1">E4/99649.35</f>
        <v>0.28430454388312615</v>
      </c>
      <c r="G4" s="31">
        <v>40323.764000000003</v>
      </c>
      <c r="H4" s="37">
        <f t="shared" ref="H4:H10" si="2">G4/119293.66</f>
        <v>0.33802101469600315</v>
      </c>
      <c r="I4" s="31">
        <v>159.041</v>
      </c>
      <c r="J4" s="37">
        <f t="shared" ref="J4:J10" si="3">I4/5651.22</f>
        <v>2.8142772711025228E-2</v>
      </c>
      <c r="K4" s="31">
        <f t="shared" ref="K4:K19" si="4">C4+E4+G4+I4</f>
        <v>167250.88999999998</v>
      </c>
      <c r="L4" s="37">
        <f t="shared" ref="L4:L10" si="5">K4/921838.71</f>
        <v>0.18143183637840507</v>
      </c>
    </row>
    <row r="5" spans="1:12" x14ac:dyDescent="0.2">
      <c r="A5" s="181"/>
      <c r="B5" s="2" t="s">
        <v>59</v>
      </c>
      <c r="C5" s="31">
        <v>147942.96</v>
      </c>
      <c r="D5" s="37">
        <f t="shared" si="0"/>
        <v>0.2121823323721401</v>
      </c>
      <c r="E5" s="31">
        <v>55205.624000000003</v>
      </c>
      <c r="F5" s="37">
        <f t="shared" si="1"/>
        <v>0.55399883692166585</v>
      </c>
      <c r="G5" s="31">
        <v>18191.989000000001</v>
      </c>
      <c r="H5" s="37">
        <f t="shared" si="2"/>
        <v>0.15249753423610274</v>
      </c>
      <c r="I5" s="31">
        <v>5288.9440000000004</v>
      </c>
      <c r="J5" s="37">
        <f t="shared" si="3"/>
        <v>0.93589419629743664</v>
      </c>
      <c r="K5" s="31">
        <f t="shared" si="4"/>
        <v>226629.51699999999</v>
      </c>
      <c r="L5" s="37">
        <f t="shared" si="5"/>
        <v>0.24584508606717112</v>
      </c>
    </row>
    <row r="6" spans="1:12" x14ac:dyDescent="0.2">
      <c r="A6" s="181"/>
      <c r="B6" s="2" t="s">
        <v>60</v>
      </c>
      <c r="C6" s="31">
        <v>5207.8590000000004</v>
      </c>
      <c r="D6" s="37">
        <f t="shared" si="0"/>
        <v>7.4692007601121499E-3</v>
      </c>
      <c r="E6" s="31">
        <v>817.2</v>
      </c>
      <c r="F6" s="37">
        <f t="shared" si="1"/>
        <v>8.2007559507412744E-3</v>
      </c>
      <c r="G6" s="31">
        <v>891.80499999999995</v>
      </c>
      <c r="H6" s="37">
        <f t="shared" si="2"/>
        <v>7.4757116178680401E-3</v>
      </c>
      <c r="I6" s="31">
        <v>0</v>
      </c>
      <c r="J6" s="37">
        <f t="shared" si="3"/>
        <v>0</v>
      </c>
      <c r="K6" s="31">
        <f t="shared" si="4"/>
        <v>6916.8640000000005</v>
      </c>
      <c r="L6" s="37">
        <f t="shared" si="5"/>
        <v>7.5033342871878321E-3</v>
      </c>
    </row>
    <row r="7" spans="1:12" x14ac:dyDescent="0.2">
      <c r="A7" s="181"/>
      <c r="B7" s="2" t="s">
        <v>106</v>
      </c>
      <c r="C7" s="31">
        <v>1000</v>
      </c>
      <c r="D7" s="37">
        <f t="shared" si="0"/>
        <v>1.4342171629669984E-3</v>
      </c>
      <c r="E7" s="31">
        <v>0</v>
      </c>
      <c r="F7" s="37">
        <f t="shared" si="1"/>
        <v>0</v>
      </c>
      <c r="G7" s="31">
        <v>0</v>
      </c>
      <c r="H7" s="37">
        <f t="shared" si="2"/>
        <v>0</v>
      </c>
      <c r="I7" s="31">
        <v>0</v>
      </c>
      <c r="J7" s="37">
        <f t="shared" si="3"/>
        <v>0</v>
      </c>
      <c r="K7" s="31">
        <f t="shared" si="4"/>
        <v>1000</v>
      </c>
      <c r="L7" s="37">
        <f t="shared" si="5"/>
        <v>1.0847884658694794E-3</v>
      </c>
    </row>
    <row r="8" spans="1:12" x14ac:dyDescent="0.2">
      <c r="A8" s="181"/>
      <c r="B8" s="2" t="s">
        <v>63</v>
      </c>
      <c r="C8" s="31">
        <v>311474.17499999999</v>
      </c>
      <c r="D8" s="37">
        <f t="shared" si="0"/>
        <v>0.44672160760598634</v>
      </c>
      <c r="E8" s="31">
        <v>14396.677</v>
      </c>
      <c r="F8" s="37">
        <f t="shared" si="1"/>
        <v>0.14447336585737888</v>
      </c>
      <c r="G8" s="31">
        <v>18334.894</v>
      </c>
      <c r="H8" s="37">
        <f t="shared" si="2"/>
        <v>0.15369546042933044</v>
      </c>
      <c r="I8" s="31">
        <v>160</v>
      </c>
      <c r="J8" s="37">
        <f t="shared" si="3"/>
        <v>2.8312470581573535E-2</v>
      </c>
      <c r="K8" s="31">
        <f t="shared" si="4"/>
        <v>344365.74600000004</v>
      </c>
      <c r="L8" s="37">
        <f t="shared" si="5"/>
        <v>0.37356398930133888</v>
      </c>
    </row>
    <row r="9" spans="1:12" x14ac:dyDescent="0.2">
      <c r="A9" s="181"/>
      <c r="B9" s="2" t="s">
        <v>65</v>
      </c>
      <c r="C9" s="31">
        <v>101965.811</v>
      </c>
      <c r="D9" s="37">
        <f t="shared" si="0"/>
        <v>0.14624111617204916</v>
      </c>
      <c r="E9" s="31">
        <v>899.08399999999995</v>
      </c>
      <c r="F9" s="37">
        <f t="shared" si="1"/>
        <v>9.0224773167110455E-3</v>
      </c>
      <c r="G9" s="31">
        <v>41551.205000000002</v>
      </c>
      <c r="H9" s="37">
        <f t="shared" si="2"/>
        <v>0.34831025387267017</v>
      </c>
      <c r="I9" s="31">
        <v>43.235999999999997</v>
      </c>
      <c r="J9" s="37">
        <f t="shared" si="3"/>
        <v>7.6507373629057084E-3</v>
      </c>
      <c r="K9" s="31">
        <f t="shared" si="4"/>
        <v>144459.33600000001</v>
      </c>
      <c r="L9" s="37">
        <f t="shared" si="5"/>
        <v>0.15670782147996368</v>
      </c>
    </row>
    <row r="10" spans="1:12" x14ac:dyDescent="0.2">
      <c r="A10" s="181"/>
      <c r="B10" s="2" t="s">
        <v>66</v>
      </c>
      <c r="C10" s="31">
        <v>31216.351999999999</v>
      </c>
      <c r="D10" s="37">
        <f t="shared" si="0"/>
        <v>4.4771027803619183E-2</v>
      </c>
      <c r="E10" s="31">
        <v>0</v>
      </c>
      <c r="F10" s="37">
        <f t="shared" si="1"/>
        <v>0</v>
      </c>
      <c r="G10" s="31">
        <v>0</v>
      </c>
      <c r="H10" s="37">
        <f t="shared" si="2"/>
        <v>0</v>
      </c>
      <c r="I10" s="31">
        <v>0</v>
      </c>
      <c r="J10" s="37">
        <f t="shared" si="3"/>
        <v>0</v>
      </c>
      <c r="K10" s="31">
        <f t="shared" si="4"/>
        <v>31216.351999999999</v>
      </c>
      <c r="L10" s="37">
        <f t="shared" si="5"/>
        <v>3.386313859612166E-2</v>
      </c>
    </row>
    <row r="11" spans="1:12" x14ac:dyDescent="0.2">
      <c r="A11" s="181"/>
      <c r="B11" s="6" t="s">
        <v>107</v>
      </c>
      <c r="C11" s="34">
        <f>SUM(C4:C10)</f>
        <v>697244.47899999993</v>
      </c>
      <c r="D11" s="36">
        <f t="shared" si="0"/>
        <v>0.99999999856578281</v>
      </c>
      <c r="E11" s="34">
        <f t="shared" ref="E11:J11" si="6">SUM(E4:E10)</f>
        <v>99649.347999999998</v>
      </c>
      <c r="F11" s="36">
        <f t="shared" si="6"/>
        <v>0.9999999799296232</v>
      </c>
      <c r="G11" s="34">
        <f t="shared" si="6"/>
        <v>119293.65700000001</v>
      </c>
      <c r="H11" s="36">
        <f t="shared" si="6"/>
        <v>0.99999997485197456</v>
      </c>
      <c r="I11" s="34">
        <f t="shared" si="6"/>
        <v>5651.2210000000005</v>
      </c>
      <c r="J11" s="36">
        <f t="shared" si="6"/>
        <v>1.0000001769529412</v>
      </c>
      <c r="K11" s="34">
        <f t="shared" si="4"/>
        <v>921838.70499999996</v>
      </c>
      <c r="L11" s="36">
        <f>SUM(L4:L10)</f>
        <v>0.9999999945760577</v>
      </c>
    </row>
    <row r="12" spans="1:12" x14ac:dyDescent="0.2">
      <c r="A12" s="182" t="s">
        <v>108</v>
      </c>
      <c r="B12" s="2" t="s">
        <v>77</v>
      </c>
      <c r="C12" s="31">
        <v>83246.163</v>
      </c>
      <c r="D12" s="37">
        <f t="shared" si="0"/>
        <v>0.11939307572574831</v>
      </c>
      <c r="E12" s="31">
        <v>59384.881000000001</v>
      </c>
      <c r="F12" s="37">
        <f t="shared" ref="F12:F19" si="7">E12/99649.35</f>
        <v>0.59593846823887964</v>
      </c>
      <c r="G12" s="31">
        <v>5039.8019999999997</v>
      </c>
      <c r="H12" s="37">
        <f t="shared" ref="H12:H19" si="8">G12/119293.66</f>
        <v>4.224702301865832E-2</v>
      </c>
      <c r="I12" s="31">
        <v>4670.2269999999999</v>
      </c>
      <c r="J12" s="37">
        <f t="shared" ref="J12:J19" si="9">I12/5651.22</f>
        <v>0.82641040341731509</v>
      </c>
      <c r="K12" s="31">
        <f t="shared" si="4"/>
        <v>152341.073</v>
      </c>
      <c r="L12" s="37">
        <f t="shared" ref="L12:L19" si="10">K12/921838.71</f>
        <v>0.16525783886858039</v>
      </c>
    </row>
    <row r="13" spans="1:12" x14ac:dyDescent="0.2">
      <c r="A13" s="182"/>
      <c r="B13" s="2" t="s">
        <v>109</v>
      </c>
      <c r="C13" s="31">
        <v>102977.455</v>
      </c>
      <c r="D13" s="37">
        <f t="shared" si="0"/>
        <v>0.14769203335966175</v>
      </c>
      <c r="E13" s="31">
        <v>23097.475999999999</v>
      </c>
      <c r="F13" s="37">
        <f t="shared" si="7"/>
        <v>0.23178752294922142</v>
      </c>
      <c r="G13" s="31">
        <v>46392.207999999999</v>
      </c>
      <c r="H13" s="37">
        <f t="shared" si="8"/>
        <v>0.38889080945290805</v>
      </c>
      <c r="I13" s="31">
        <v>820.99400000000003</v>
      </c>
      <c r="J13" s="37">
        <f t="shared" si="9"/>
        <v>0.14527730295405239</v>
      </c>
      <c r="K13" s="31">
        <f t="shared" si="4"/>
        <v>173288.133</v>
      </c>
      <c r="L13" s="37">
        <f t="shared" si="10"/>
        <v>0.18798096795045632</v>
      </c>
    </row>
    <row r="14" spans="1:12" x14ac:dyDescent="0.2">
      <c r="A14" s="182"/>
      <c r="B14" s="2" t="s">
        <v>79</v>
      </c>
      <c r="C14" s="31">
        <v>17681.629000000001</v>
      </c>
      <c r="D14" s="37">
        <f t="shared" si="0"/>
        <v>2.5359295781015007E-2</v>
      </c>
      <c r="E14" s="31">
        <v>108.85</v>
      </c>
      <c r="F14" s="37">
        <f t="shared" si="7"/>
        <v>1.092330256042814E-3</v>
      </c>
      <c r="G14" s="31">
        <v>1146.6959999999999</v>
      </c>
      <c r="H14" s="37">
        <f t="shared" si="8"/>
        <v>9.6123800711622048E-3</v>
      </c>
      <c r="I14" s="31">
        <v>0</v>
      </c>
      <c r="J14" s="37">
        <f t="shared" si="9"/>
        <v>0</v>
      </c>
      <c r="K14" s="31">
        <f t="shared" si="4"/>
        <v>18937.174999999999</v>
      </c>
      <c r="L14" s="37">
        <f t="shared" si="10"/>
        <v>2.054282901615186E-2</v>
      </c>
    </row>
    <row r="15" spans="1:12" x14ac:dyDescent="0.2">
      <c r="A15" s="182"/>
      <c r="B15" s="2" t="s">
        <v>59</v>
      </c>
      <c r="C15" s="31">
        <v>14134.549000000001</v>
      </c>
      <c r="D15" s="37">
        <f t="shared" si="0"/>
        <v>2.0272012766598024E-2</v>
      </c>
      <c r="E15" s="31">
        <v>2143.1410000000001</v>
      </c>
      <c r="F15" s="37">
        <f t="shared" si="7"/>
        <v>2.1506823677224188E-2</v>
      </c>
      <c r="G15" s="31">
        <v>229.16800000000001</v>
      </c>
      <c r="H15" s="37">
        <f t="shared" si="8"/>
        <v>1.9210409002456627E-3</v>
      </c>
      <c r="I15" s="31">
        <v>0</v>
      </c>
      <c r="J15" s="37">
        <f t="shared" si="9"/>
        <v>0</v>
      </c>
      <c r="K15" s="31">
        <f t="shared" si="4"/>
        <v>16506.858</v>
      </c>
      <c r="L15" s="37">
        <f t="shared" si="10"/>
        <v>1.7906449166145345E-2</v>
      </c>
    </row>
    <row r="16" spans="1:12" x14ac:dyDescent="0.2">
      <c r="A16" s="182"/>
      <c r="B16" s="2" t="s">
        <v>81</v>
      </c>
      <c r="C16" s="31">
        <v>154657.00099999999</v>
      </c>
      <c r="D16" s="37">
        <f t="shared" si="0"/>
        <v>0.22181172520720421</v>
      </c>
      <c r="E16" s="31">
        <v>10753.119000000001</v>
      </c>
      <c r="F16" s="37">
        <f t="shared" si="7"/>
        <v>0.10790957492447266</v>
      </c>
      <c r="G16" s="31">
        <v>24440.281999999999</v>
      </c>
      <c r="H16" s="37">
        <f t="shared" si="8"/>
        <v>0.20487494473721402</v>
      </c>
      <c r="I16" s="31">
        <v>160</v>
      </c>
      <c r="J16" s="37">
        <f t="shared" si="9"/>
        <v>2.8312470581573535E-2</v>
      </c>
      <c r="K16" s="31">
        <f t="shared" si="4"/>
        <v>190010.402</v>
      </c>
      <c r="L16" s="37">
        <f t="shared" si="10"/>
        <v>0.20612109248482308</v>
      </c>
    </row>
    <row r="17" spans="1:12" x14ac:dyDescent="0.2">
      <c r="A17" s="182"/>
      <c r="B17" s="2" t="s">
        <v>63</v>
      </c>
      <c r="C17" s="31">
        <v>182407.546</v>
      </c>
      <c r="D17" s="37">
        <f t="shared" si="0"/>
        <v>0.26161203312789227</v>
      </c>
      <c r="E17" s="31">
        <v>2729.4119999999998</v>
      </c>
      <c r="F17" s="37">
        <f t="shared" si="7"/>
        <v>2.7390163608693882E-2</v>
      </c>
      <c r="G17" s="31">
        <v>31627.214</v>
      </c>
      <c r="H17" s="37">
        <f t="shared" si="8"/>
        <v>0.26512066106446897</v>
      </c>
      <c r="I17" s="31">
        <v>0</v>
      </c>
      <c r="J17" s="37">
        <f t="shared" si="9"/>
        <v>0</v>
      </c>
      <c r="K17" s="31">
        <f t="shared" si="4"/>
        <v>216764.17200000002</v>
      </c>
      <c r="L17" s="37">
        <f t="shared" si="10"/>
        <v>0.235143273599348</v>
      </c>
    </row>
    <row r="18" spans="1:12" x14ac:dyDescent="0.2">
      <c r="A18" s="182"/>
      <c r="B18" s="2" t="s">
        <v>110</v>
      </c>
      <c r="C18" s="31">
        <v>52257.233999999997</v>
      </c>
      <c r="D18" s="37">
        <f t="shared" si="0"/>
        <v>7.4948221891982567E-2</v>
      </c>
      <c r="E18" s="31">
        <v>0</v>
      </c>
      <c r="F18" s="37">
        <f t="shared" si="7"/>
        <v>0</v>
      </c>
      <c r="G18" s="31">
        <v>0</v>
      </c>
      <c r="H18" s="37">
        <f t="shared" si="8"/>
        <v>0</v>
      </c>
      <c r="I18" s="31">
        <v>0</v>
      </c>
      <c r="J18" s="37">
        <f t="shared" si="9"/>
        <v>0</v>
      </c>
      <c r="K18" s="31">
        <f t="shared" si="4"/>
        <v>52257.233999999997</v>
      </c>
      <c r="L18" s="37">
        <f t="shared" si="10"/>
        <v>5.6688044701442404E-2</v>
      </c>
    </row>
    <row r="19" spans="1:12" x14ac:dyDescent="0.2">
      <c r="A19" s="182"/>
      <c r="B19" s="2" t="s">
        <v>66</v>
      </c>
      <c r="C19" s="31">
        <v>89882.903000000006</v>
      </c>
      <c r="D19" s="37">
        <f t="shared" si="0"/>
        <v>0.12891160213989791</v>
      </c>
      <c r="E19" s="31">
        <v>1432.4690000000001</v>
      </c>
      <c r="F19" s="37">
        <f t="shared" si="7"/>
        <v>1.4375096275088598E-2</v>
      </c>
      <c r="G19" s="31">
        <v>10418.287</v>
      </c>
      <c r="H19" s="37">
        <f t="shared" si="8"/>
        <v>8.7333115607317269E-2</v>
      </c>
      <c r="I19" s="31">
        <v>0</v>
      </c>
      <c r="J19" s="37">
        <f t="shared" si="9"/>
        <v>0</v>
      </c>
      <c r="K19" s="31">
        <f t="shared" si="4"/>
        <v>101733.659</v>
      </c>
      <c r="L19" s="37">
        <f t="shared" si="10"/>
        <v>0.11035949987389877</v>
      </c>
    </row>
    <row r="20" spans="1:12" x14ac:dyDescent="0.2">
      <c r="A20" s="182"/>
      <c r="B20" s="6" t="s">
        <v>111</v>
      </c>
      <c r="C20" s="34">
        <f>SUM(C12:C19)</f>
        <v>697244.4800000001</v>
      </c>
      <c r="D20" s="36">
        <f t="shared" si="0"/>
        <v>1.0000000000000002</v>
      </c>
      <c r="E20" s="34">
        <f t="shared" ref="E20:L20" si="11">SUM(E12:E19)</f>
        <v>99649.348000000013</v>
      </c>
      <c r="F20" s="36">
        <f t="shared" si="11"/>
        <v>0.9999999799296232</v>
      </c>
      <c r="G20" s="34">
        <f t="shared" si="11"/>
        <v>119293.65699999999</v>
      </c>
      <c r="H20" s="36">
        <f t="shared" si="11"/>
        <v>0.99999997485197445</v>
      </c>
      <c r="I20" s="34">
        <f t="shared" si="11"/>
        <v>5651.2209999999995</v>
      </c>
      <c r="J20" s="36">
        <f t="shared" si="11"/>
        <v>1.000000176952941</v>
      </c>
      <c r="K20" s="34">
        <f t="shared" si="11"/>
        <v>921838.70600000001</v>
      </c>
      <c r="L20" s="36">
        <f t="shared" si="11"/>
        <v>0.9999999956608463</v>
      </c>
    </row>
    <row r="21" spans="1:12" ht="11.25" customHeight="1" x14ac:dyDescent="0.2">
      <c r="A21" s="172" t="s">
        <v>68</v>
      </c>
      <c r="B21" s="172"/>
      <c r="C21" s="172"/>
      <c r="D21" s="172"/>
      <c r="E21" s="172"/>
      <c r="F21" s="172"/>
      <c r="G21" s="172"/>
      <c r="H21" s="172"/>
      <c r="I21" s="172"/>
      <c r="J21" s="172"/>
      <c r="K21" s="172"/>
      <c r="L21" s="172"/>
    </row>
    <row r="22" spans="1:12" x14ac:dyDescent="0.2">
      <c r="C22" s="38"/>
      <c r="D22" s="38"/>
      <c r="E22" s="38"/>
      <c r="F22" s="38"/>
      <c r="G22" s="38"/>
      <c r="H22" s="38"/>
      <c r="I22" s="38"/>
      <c r="J22" s="38"/>
      <c r="K22" s="38"/>
      <c r="L22" s="38"/>
    </row>
  </sheetData>
  <mergeCells count="10">
    <mergeCell ref="A4:A11"/>
    <mergeCell ref="A12:A20"/>
    <mergeCell ref="A21:L21"/>
    <mergeCell ref="A1:L1"/>
    <mergeCell ref="A2:B3"/>
    <mergeCell ref="C2:D2"/>
    <mergeCell ref="E2:F2"/>
    <mergeCell ref="G2:H2"/>
    <mergeCell ref="I2:J2"/>
    <mergeCell ref="K2:L2"/>
  </mergeCells>
  <pageMargins left="0.74999999999999989" right="0.74999999999999989" top="1.393700787401575" bottom="1.393700787401575" header="1" footer="1"/>
  <pageSetup paperSize="0" fitToWidth="0" fitToHeight="0" orientation="portrait" horizontalDpi="0" verticalDpi="0" copies="0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theme="9"/>
  </sheetPr>
  <dimension ref="A1:AMJ21"/>
  <sheetViews>
    <sheetView workbookViewId="0">
      <selection sqref="A1:G1"/>
    </sheetView>
  </sheetViews>
  <sheetFormatPr baseColWidth="10" defaultRowHeight="14.25" x14ac:dyDescent="0.2"/>
  <cols>
    <col min="1" max="1" width="16" style="1" customWidth="1"/>
    <col min="2" max="10" width="7.625" style="1" customWidth="1"/>
    <col min="11" max="11" width="8.5" style="1" customWidth="1"/>
    <col min="12" max="12" width="7.625" style="1" customWidth="1"/>
    <col min="13" max="1024" width="10.125" style="1" customWidth="1"/>
  </cols>
  <sheetData>
    <row r="1" spans="1:12" x14ac:dyDescent="0.2">
      <c r="A1" s="183" t="s">
        <v>112</v>
      </c>
      <c r="B1" s="183"/>
      <c r="C1" s="183"/>
      <c r="D1" s="183"/>
      <c r="E1" s="183"/>
      <c r="F1" s="183"/>
      <c r="G1" s="183"/>
      <c r="H1" s="183"/>
      <c r="I1" s="183"/>
      <c r="J1" s="183"/>
      <c r="K1" s="183"/>
      <c r="L1" s="183"/>
    </row>
    <row r="2" spans="1:12" x14ac:dyDescent="0.2">
      <c r="A2" s="2"/>
      <c r="B2" s="3">
        <v>2010</v>
      </c>
      <c r="C2" s="3">
        <v>2011</v>
      </c>
      <c r="D2" s="3">
        <v>2012</v>
      </c>
      <c r="E2" s="3">
        <v>2013</v>
      </c>
      <c r="F2" s="3">
        <v>2014</v>
      </c>
      <c r="G2" s="3">
        <v>2015</v>
      </c>
      <c r="H2" s="3">
        <v>2016</v>
      </c>
      <c r="I2" s="3">
        <v>2017</v>
      </c>
      <c r="J2" s="3">
        <v>2018</v>
      </c>
      <c r="K2" s="3">
        <v>2019</v>
      </c>
      <c r="L2" s="3">
        <v>2020</v>
      </c>
    </row>
    <row r="3" spans="1:12" x14ac:dyDescent="0.2">
      <c r="A3" s="2" t="s">
        <v>113</v>
      </c>
      <c r="B3" s="39">
        <v>12562</v>
      </c>
      <c r="C3" s="40">
        <v>14793</v>
      </c>
      <c r="D3" s="40">
        <v>21064</v>
      </c>
      <c r="E3" s="40">
        <v>24441</v>
      </c>
      <c r="F3" s="40">
        <v>29373</v>
      </c>
      <c r="G3" s="40">
        <v>31645</v>
      </c>
      <c r="H3" s="40">
        <v>33325</v>
      </c>
      <c r="I3" s="40">
        <v>34260</v>
      </c>
      <c r="J3" s="40">
        <v>35409</v>
      </c>
      <c r="K3" s="40">
        <v>35430.58</v>
      </c>
      <c r="L3" s="40">
        <v>36096</v>
      </c>
    </row>
    <row r="4" spans="1:12" x14ac:dyDescent="0.2">
      <c r="A4" s="2" t="s">
        <v>114</v>
      </c>
      <c r="B4" s="39">
        <v>2901</v>
      </c>
      <c r="C4" s="40">
        <v>3403</v>
      </c>
      <c r="D4" s="40">
        <v>4607</v>
      </c>
      <c r="E4" s="40">
        <v>5369</v>
      </c>
      <c r="F4" s="40">
        <v>6010</v>
      </c>
      <c r="G4" s="40">
        <v>6930</v>
      </c>
      <c r="H4" s="40">
        <v>7486</v>
      </c>
      <c r="I4" s="40">
        <v>7959</v>
      </c>
      <c r="J4" s="40">
        <v>8251</v>
      </c>
      <c r="K4" s="40">
        <v>8314.75</v>
      </c>
      <c r="L4" s="40">
        <v>8742</v>
      </c>
    </row>
    <row r="5" spans="1:12" x14ac:dyDescent="0.2">
      <c r="A5" s="2" t="s">
        <v>115</v>
      </c>
      <c r="B5" s="39">
        <v>1701</v>
      </c>
      <c r="C5" s="40">
        <v>2155</v>
      </c>
      <c r="D5" s="40">
        <v>2675</v>
      </c>
      <c r="E5" s="2">
        <v>3052</v>
      </c>
      <c r="F5" s="40">
        <v>3479</v>
      </c>
      <c r="G5" s="2">
        <v>3876</v>
      </c>
      <c r="H5" s="40">
        <v>4094</v>
      </c>
      <c r="I5" s="40">
        <v>4244</v>
      </c>
      <c r="J5" s="40">
        <v>4351</v>
      </c>
      <c r="K5" s="40">
        <v>4356.95</v>
      </c>
      <c r="L5" s="40">
        <v>4447</v>
      </c>
    </row>
    <row r="6" spans="1:12" x14ac:dyDescent="0.2">
      <c r="A6" s="6" t="s">
        <v>116</v>
      </c>
      <c r="B6" s="41">
        <v>4458</v>
      </c>
      <c r="C6" s="42">
        <v>4774</v>
      </c>
      <c r="D6" s="42">
        <v>6130</v>
      </c>
      <c r="E6" s="42">
        <v>6884</v>
      </c>
      <c r="F6" s="42">
        <v>7798</v>
      </c>
      <c r="G6" s="42">
        <v>8330</v>
      </c>
      <c r="H6" s="42">
        <v>8572</v>
      </c>
      <c r="I6" s="42">
        <v>8802</v>
      </c>
      <c r="J6" s="42">
        <v>8706</v>
      </c>
      <c r="K6" s="42">
        <v>8863.1</v>
      </c>
      <c r="L6" s="42">
        <v>9120</v>
      </c>
    </row>
    <row r="7" spans="1:12" x14ac:dyDescent="0.2">
      <c r="A7" s="2" t="s">
        <v>117</v>
      </c>
      <c r="B7" s="39">
        <v>3298</v>
      </c>
      <c r="C7" s="40">
        <v>3718</v>
      </c>
      <c r="D7" s="40">
        <v>4687</v>
      </c>
      <c r="E7" s="40">
        <v>5281</v>
      </c>
      <c r="F7" s="40">
        <v>6034</v>
      </c>
      <c r="G7" s="40">
        <v>6669</v>
      </c>
      <c r="H7" s="40">
        <v>6939</v>
      </c>
      <c r="I7" s="40">
        <v>7044</v>
      </c>
      <c r="J7" s="40">
        <v>6808</v>
      </c>
      <c r="K7" s="40">
        <v>6612.91</v>
      </c>
      <c r="L7" s="40">
        <v>6412</v>
      </c>
    </row>
    <row r="8" spans="1:12" x14ac:dyDescent="0.2">
      <c r="A8" s="2" t="s">
        <v>118</v>
      </c>
      <c r="B8" s="43">
        <v>992</v>
      </c>
      <c r="C8" s="40">
        <v>1293</v>
      </c>
      <c r="D8" s="40">
        <v>2032</v>
      </c>
      <c r="E8" s="2">
        <v>2178</v>
      </c>
      <c r="F8" s="40">
        <v>2428</v>
      </c>
      <c r="G8" s="2">
        <v>2677</v>
      </c>
      <c r="H8" s="40">
        <v>2890</v>
      </c>
      <c r="I8" s="40">
        <v>3033</v>
      </c>
      <c r="J8" s="40">
        <v>3171</v>
      </c>
      <c r="K8" s="40">
        <v>3187.76</v>
      </c>
      <c r="L8" s="40">
        <v>3344</v>
      </c>
    </row>
    <row r="9" spans="1:12" x14ac:dyDescent="0.2">
      <c r="A9" s="2" t="s">
        <v>119</v>
      </c>
      <c r="B9" s="39">
        <v>6110</v>
      </c>
      <c r="C9" s="40">
        <v>6886</v>
      </c>
      <c r="D9" s="40">
        <v>10190</v>
      </c>
      <c r="E9" s="40">
        <v>11343</v>
      </c>
      <c r="F9" s="40">
        <v>12858</v>
      </c>
      <c r="G9" s="40">
        <v>13426</v>
      </c>
      <c r="H9" s="40">
        <v>14055</v>
      </c>
      <c r="I9" s="40">
        <v>14430</v>
      </c>
      <c r="J9" s="40">
        <v>14714</v>
      </c>
      <c r="K9" s="40">
        <v>14949.25</v>
      </c>
      <c r="L9" s="40">
        <v>15328</v>
      </c>
    </row>
    <row r="10" spans="1:12" x14ac:dyDescent="0.2">
      <c r="A10" s="2" t="s">
        <v>120</v>
      </c>
      <c r="B10" s="39">
        <v>4630</v>
      </c>
      <c r="C10" s="40">
        <v>5804</v>
      </c>
      <c r="D10" s="40">
        <v>7933</v>
      </c>
      <c r="E10" s="40">
        <v>8527</v>
      </c>
      <c r="F10" s="40">
        <v>9359</v>
      </c>
      <c r="G10" s="40">
        <v>10557</v>
      </c>
      <c r="H10" s="40">
        <v>11316</v>
      </c>
      <c r="I10" s="40">
        <v>11870</v>
      </c>
      <c r="J10" s="40">
        <v>12360</v>
      </c>
      <c r="K10" s="40">
        <v>12473.02</v>
      </c>
      <c r="L10" s="40">
        <v>12932</v>
      </c>
    </row>
    <row r="11" spans="1:12" x14ac:dyDescent="0.2">
      <c r="A11" s="2" t="s">
        <v>121</v>
      </c>
      <c r="B11" s="39">
        <v>35616</v>
      </c>
      <c r="C11" s="40">
        <v>44095</v>
      </c>
      <c r="D11" s="40">
        <v>52355</v>
      </c>
      <c r="E11" s="40">
        <v>58179</v>
      </c>
      <c r="F11" s="40">
        <v>64466</v>
      </c>
      <c r="G11" s="40">
        <v>72675</v>
      </c>
      <c r="H11" s="40">
        <v>75118</v>
      </c>
      <c r="I11" s="43">
        <v>77740</v>
      </c>
      <c r="J11" s="43">
        <v>78732</v>
      </c>
      <c r="K11" s="39">
        <v>79060</v>
      </c>
      <c r="L11" s="39">
        <v>79119</v>
      </c>
    </row>
    <row r="12" spans="1:12" x14ac:dyDescent="0.2">
      <c r="A12" s="2" t="s">
        <v>122</v>
      </c>
      <c r="B12" s="39">
        <v>1747</v>
      </c>
      <c r="C12" s="40">
        <v>2021</v>
      </c>
      <c r="D12" s="40">
        <v>2436</v>
      </c>
      <c r="E12" s="2">
        <v>2630</v>
      </c>
      <c r="F12" s="40">
        <v>3092</v>
      </c>
      <c r="G12" s="2">
        <v>3576</v>
      </c>
      <c r="H12" s="40">
        <v>4059</v>
      </c>
      <c r="I12" s="40">
        <v>4401</v>
      </c>
      <c r="J12" s="40">
        <v>4622</v>
      </c>
      <c r="K12" s="40">
        <v>4721.45</v>
      </c>
      <c r="L12" s="40">
        <v>4896</v>
      </c>
    </row>
    <row r="13" spans="1:12" x14ac:dyDescent="0.2">
      <c r="A13" s="2" t="s">
        <v>123</v>
      </c>
      <c r="B13" s="39">
        <v>6189</v>
      </c>
      <c r="C13" s="40">
        <v>7079</v>
      </c>
      <c r="D13" s="40">
        <v>8324</v>
      </c>
      <c r="E13" s="40">
        <v>9212</v>
      </c>
      <c r="F13" s="40">
        <v>9961</v>
      </c>
      <c r="G13" s="40">
        <v>10375</v>
      </c>
      <c r="H13" s="40">
        <v>10854</v>
      </c>
      <c r="I13" s="40">
        <v>11210</v>
      </c>
      <c r="J13" s="40">
        <v>11342</v>
      </c>
      <c r="K13" s="40">
        <v>11314.52</v>
      </c>
      <c r="L13" s="40">
        <v>11538</v>
      </c>
    </row>
    <row r="14" spans="1:12" x14ac:dyDescent="0.2">
      <c r="A14" s="2" t="s">
        <v>124</v>
      </c>
      <c r="B14" s="43">
        <v>726</v>
      </c>
      <c r="C14" s="40">
        <v>900</v>
      </c>
      <c r="D14" s="40">
        <v>1045</v>
      </c>
      <c r="E14" s="2">
        <v>1143</v>
      </c>
      <c r="F14" s="40">
        <v>1296</v>
      </c>
      <c r="G14" s="2">
        <v>1436</v>
      </c>
      <c r="H14" s="40">
        <v>1487</v>
      </c>
      <c r="I14" s="40">
        <v>1570</v>
      </c>
      <c r="J14" s="40">
        <v>1591</v>
      </c>
      <c r="K14" s="40">
        <v>1607.57</v>
      </c>
      <c r="L14" s="40">
        <v>1653</v>
      </c>
    </row>
    <row r="15" spans="1:12" x14ac:dyDescent="0.2">
      <c r="A15" s="2" t="s">
        <v>125</v>
      </c>
      <c r="B15" s="39">
        <v>14323</v>
      </c>
      <c r="C15" s="40">
        <v>16255</v>
      </c>
      <c r="D15" s="40">
        <v>20906</v>
      </c>
      <c r="E15" s="40">
        <v>22863</v>
      </c>
      <c r="F15" s="40">
        <v>25414</v>
      </c>
      <c r="G15" s="40">
        <v>28686</v>
      </c>
      <c r="H15" s="40">
        <v>30418</v>
      </c>
      <c r="I15" s="40">
        <v>32783</v>
      </c>
      <c r="J15" s="40">
        <v>33270</v>
      </c>
      <c r="K15" s="40">
        <v>33469.19</v>
      </c>
      <c r="L15" s="40">
        <v>34604</v>
      </c>
    </row>
    <row r="16" spans="1:12" x14ac:dyDescent="0.2">
      <c r="A16" s="2" t="s">
        <v>126</v>
      </c>
      <c r="B16" s="39">
        <v>2107</v>
      </c>
      <c r="C16" s="40">
        <v>2806</v>
      </c>
      <c r="D16" s="40">
        <v>4628</v>
      </c>
      <c r="E16" s="2">
        <v>5543</v>
      </c>
      <c r="F16" s="40">
        <v>6838</v>
      </c>
      <c r="G16" s="2">
        <v>7601</v>
      </c>
      <c r="H16" s="40">
        <v>8305</v>
      </c>
      <c r="I16" s="40">
        <v>8795</v>
      </c>
      <c r="J16" s="40">
        <v>9232</v>
      </c>
      <c r="K16" s="40">
        <v>9561.69</v>
      </c>
      <c r="L16" s="40">
        <v>10182</v>
      </c>
    </row>
    <row r="17" spans="1:12" x14ac:dyDescent="0.2">
      <c r="A17" s="2" t="s">
        <v>127</v>
      </c>
      <c r="B17" s="39">
        <v>1691</v>
      </c>
      <c r="C17" s="40">
        <v>2446</v>
      </c>
      <c r="D17" s="40">
        <v>2847</v>
      </c>
      <c r="E17" s="2">
        <v>3136</v>
      </c>
      <c r="F17" s="40">
        <v>3197</v>
      </c>
      <c r="G17" s="2">
        <v>3322</v>
      </c>
      <c r="H17" s="40">
        <v>3461</v>
      </c>
      <c r="I17" s="40">
        <v>3628</v>
      </c>
      <c r="J17" s="40">
        <v>3445</v>
      </c>
      <c r="K17" s="40">
        <v>3297.38</v>
      </c>
      <c r="L17" s="40">
        <v>3617</v>
      </c>
    </row>
    <row r="18" spans="1:12" x14ac:dyDescent="0.2">
      <c r="A18" s="2" t="s">
        <v>128</v>
      </c>
      <c r="B18" s="39">
        <v>5070</v>
      </c>
      <c r="C18" s="40">
        <v>5591</v>
      </c>
      <c r="D18" s="40">
        <v>7259</v>
      </c>
      <c r="E18" s="2">
        <v>8280</v>
      </c>
      <c r="F18" s="40">
        <v>8915</v>
      </c>
      <c r="G18" s="40">
        <v>9486</v>
      </c>
      <c r="H18" s="40">
        <v>9958</v>
      </c>
      <c r="I18" s="40">
        <v>10149</v>
      </c>
      <c r="J18" s="40">
        <v>10041</v>
      </c>
      <c r="K18" s="40">
        <v>9424.6</v>
      </c>
      <c r="L18" s="40">
        <v>10785</v>
      </c>
    </row>
    <row r="19" spans="1:12" x14ac:dyDescent="0.2">
      <c r="A19" s="2" t="s">
        <v>129</v>
      </c>
      <c r="B19" s="39">
        <v>20119</v>
      </c>
      <c r="C19" s="40">
        <v>21860</v>
      </c>
      <c r="D19" s="40">
        <v>30065</v>
      </c>
      <c r="E19" s="40">
        <v>32459</v>
      </c>
      <c r="F19" s="40">
        <v>37422</v>
      </c>
      <c r="G19" s="40">
        <v>42003</v>
      </c>
      <c r="H19" s="40">
        <v>44663</v>
      </c>
      <c r="I19" s="40">
        <v>46187</v>
      </c>
      <c r="J19" s="40">
        <v>47084</v>
      </c>
      <c r="K19" s="40">
        <v>48438</v>
      </c>
      <c r="L19" s="40">
        <v>50807</v>
      </c>
    </row>
    <row r="20" spans="1:12" x14ac:dyDescent="0.2">
      <c r="A20" s="6" t="s">
        <v>130</v>
      </c>
      <c r="B20" s="41">
        <v>124239</v>
      </c>
      <c r="C20" s="42">
        <v>145879</v>
      </c>
      <c r="D20" s="42">
        <v>189183</v>
      </c>
      <c r="E20" s="42">
        <v>210520</v>
      </c>
      <c r="F20" s="42">
        <v>237941</v>
      </c>
      <c r="G20" s="42">
        <v>263269</v>
      </c>
      <c r="H20" s="42">
        <v>277001</v>
      </c>
      <c r="I20" s="42">
        <v>288105</v>
      </c>
      <c r="J20" s="42">
        <v>293128</v>
      </c>
      <c r="K20" s="42">
        <f>SUM(K3:K19)</f>
        <v>295082.72000000003</v>
      </c>
      <c r="L20" s="42">
        <f>SUM(L3:L19)</f>
        <v>303622</v>
      </c>
    </row>
    <row r="21" spans="1:12" x14ac:dyDescent="0.2">
      <c r="A21" s="179" t="s">
        <v>131</v>
      </c>
      <c r="B21" s="179"/>
      <c r="C21" s="179"/>
      <c r="D21" s="179"/>
      <c r="E21" s="179"/>
      <c r="F21" s="179"/>
      <c r="G21" s="179"/>
      <c r="H21" s="179"/>
      <c r="I21" s="179"/>
    </row>
  </sheetData>
  <mergeCells count="2">
    <mergeCell ref="A1:L1"/>
    <mergeCell ref="A21:I21"/>
  </mergeCells>
  <pageMargins left="0.74999999999999989" right="0.74999999999999989" top="1.393700787401575" bottom="1.393700787401575" header="1" footer="1"/>
  <pageSetup paperSize="0" fitToWidth="0" fitToHeight="0" orientation="portrait" horizontalDpi="0" verticalDpi="0" copies="0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theme="9"/>
  </sheetPr>
  <dimension ref="A1:AMJ32"/>
  <sheetViews>
    <sheetView workbookViewId="0">
      <selection sqref="A1:G1"/>
    </sheetView>
  </sheetViews>
  <sheetFormatPr baseColWidth="10" defaultRowHeight="14.25" x14ac:dyDescent="0.2"/>
  <cols>
    <col min="1" max="1" width="10.125" style="1" customWidth="1"/>
    <col min="2" max="2" width="24.5" style="1" customWidth="1"/>
    <col min="3" max="4" width="10.75" style="1" customWidth="1"/>
    <col min="5" max="5" width="9.75" style="69" customWidth="1"/>
    <col min="6" max="6" width="11.75" style="1" customWidth="1"/>
    <col min="7" max="7" width="10.75" style="1" customWidth="1"/>
    <col min="8" max="8" width="9.75" style="69" customWidth="1"/>
    <col min="9" max="10" width="10.75" style="1" customWidth="1"/>
    <col min="11" max="11" width="9.875" style="69" customWidth="1"/>
    <col min="12" max="12" width="4.875" style="70" customWidth="1"/>
    <col min="13" max="13" width="14.875" style="1" hidden="1" customWidth="1"/>
    <col min="14" max="14" width="10.875" style="1" hidden="1" customWidth="1"/>
    <col min="15" max="15" width="11.625" style="1" hidden="1" customWidth="1"/>
    <col min="16" max="16" width="10.75" style="1" hidden="1" customWidth="1"/>
    <col min="17" max="17" width="11.75" style="1" hidden="1" customWidth="1"/>
    <col min="18" max="18" width="10.75" style="1" hidden="1" customWidth="1"/>
    <col min="19" max="19" width="10.875" style="1" hidden="1" customWidth="1"/>
    <col min="20" max="21" width="10.75" style="1" hidden="1" customWidth="1"/>
    <col min="22" max="1024" width="10.125" style="1" customWidth="1"/>
  </cols>
  <sheetData>
    <row r="1" spans="1:20" x14ac:dyDescent="0.2">
      <c r="A1" s="166" t="s">
        <v>132</v>
      </c>
      <c r="B1" s="166"/>
      <c r="C1" s="166"/>
      <c r="D1" s="166"/>
      <c r="E1" s="166"/>
      <c r="F1" s="166"/>
      <c r="G1" s="166"/>
      <c r="H1" s="166"/>
      <c r="I1" s="166"/>
      <c r="J1" s="166"/>
      <c r="K1" s="166"/>
      <c r="L1" s="44"/>
    </row>
    <row r="2" spans="1:20" s="48" customFormat="1" ht="11.25" x14ac:dyDescent="0.2">
      <c r="A2" s="174"/>
      <c r="B2" s="174"/>
      <c r="C2" s="188" t="s">
        <v>133</v>
      </c>
      <c r="D2" s="188"/>
      <c r="E2" s="188"/>
      <c r="F2" s="188" t="s">
        <v>134</v>
      </c>
      <c r="G2" s="188"/>
      <c r="H2" s="188"/>
      <c r="I2" s="188" t="s">
        <v>135</v>
      </c>
      <c r="J2" s="188"/>
      <c r="K2" s="188"/>
      <c r="L2" s="47"/>
    </row>
    <row r="3" spans="1:20" x14ac:dyDescent="0.2">
      <c r="A3" s="174"/>
      <c r="B3" s="174"/>
      <c r="C3" s="46">
        <v>2019</v>
      </c>
      <c r="D3" s="46">
        <v>2020</v>
      </c>
      <c r="E3" s="49" t="s">
        <v>136</v>
      </c>
      <c r="F3" s="46">
        <v>2019</v>
      </c>
      <c r="G3" s="46">
        <v>2020</v>
      </c>
      <c r="H3" s="49" t="s">
        <v>136</v>
      </c>
      <c r="I3" s="46">
        <v>2019</v>
      </c>
      <c r="J3" s="46">
        <v>2020</v>
      </c>
      <c r="K3" s="49" t="s">
        <v>136</v>
      </c>
      <c r="L3" s="47"/>
      <c r="M3" s="184" t="s">
        <v>137</v>
      </c>
      <c r="N3" s="184"/>
      <c r="O3" s="184"/>
      <c r="P3" s="184"/>
    </row>
    <row r="4" spans="1:20" x14ac:dyDescent="0.2">
      <c r="A4" s="185" t="s">
        <v>104</v>
      </c>
      <c r="B4" s="50" t="s">
        <v>138</v>
      </c>
      <c r="C4" s="51">
        <v>414819747.32999998</v>
      </c>
      <c r="D4" s="51">
        <f>SUM(D5:D9)</f>
        <v>407122359.86999995</v>
      </c>
      <c r="E4" s="52">
        <f t="shared" ref="E4:E10" si="0">(D4-C4)/C4</f>
        <v>-1.8555981265464115E-2</v>
      </c>
      <c r="F4" s="51">
        <v>76164876.530000001</v>
      </c>
      <c r="G4" s="51">
        <f>SUM(G5:G9)</f>
        <v>74952542.500000015</v>
      </c>
      <c r="H4" s="52">
        <f t="shared" ref="H4:H10" si="1">(G4-F4)/F4</f>
        <v>-1.5917232262858974E-2</v>
      </c>
      <c r="I4" s="51">
        <v>83510474.530000001</v>
      </c>
      <c r="J4" s="51">
        <f>SUM(J5:J9)</f>
        <v>82280620.609999999</v>
      </c>
      <c r="K4" s="52">
        <f t="shared" ref="K4:K10" si="2">(J4-I4)/I4</f>
        <v>-1.4726942062318105E-2</v>
      </c>
      <c r="L4" s="53"/>
      <c r="M4" s="50" t="s">
        <v>138</v>
      </c>
      <c r="N4" s="54">
        <f t="shared" ref="N4:N27" si="3">C4+F4+I4</f>
        <v>574495098.38999999</v>
      </c>
      <c r="O4" s="54">
        <f t="shared" ref="O4:O27" si="4">D4+G4+J4</f>
        <v>564355522.9799999</v>
      </c>
      <c r="P4" s="55">
        <f t="shared" ref="P4:P10" si="5">(O4-N4)/N4</f>
        <v>-1.7649542073406455E-2</v>
      </c>
    </row>
    <row r="5" spans="1:20" x14ac:dyDescent="0.2">
      <c r="A5" s="185"/>
      <c r="B5" s="56" t="s">
        <v>56</v>
      </c>
      <c r="C5" s="51">
        <v>14376930.220000001</v>
      </c>
      <c r="D5" s="51">
        <v>14160010</v>
      </c>
      <c r="E5" s="52">
        <f t="shared" si="0"/>
        <v>-1.5088076291713453E-2</v>
      </c>
      <c r="F5" s="51">
        <v>1221894.24</v>
      </c>
      <c r="G5" s="51">
        <v>1359862.4</v>
      </c>
      <c r="H5" s="52">
        <f t="shared" si="1"/>
        <v>0.11291334019219201</v>
      </c>
      <c r="I5" s="51">
        <v>3000000</v>
      </c>
      <c r="J5" s="57">
        <v>3000000</v>
      </c>
      <c r="K5" s="52">
        <f t="shared" si="2"/>
        <v>0</v>
      </c>
      <c r="L5" s="53"/>
      <c r="M5" s="56" t="s">
        <v>56</v>
      </c>
      <c r="N5" s="54">
        <f t="shared" si="3"/>
        <v>18598824.460000001</v>
      </c>
      <c r="O5" s="54">
        <f t="shared" si="4"/>
        <v>18519872.399999999</v>
      </c>
      <c r="P5" s="55">
        <f t="shared" si="5"/>
        <v>-4.245002697337269E-3</v>
      </c>
    </row>
    <row r="6" spans="1:20" x14ac:dyDescent="0.2">
      <c r="A6" s="185"/>
      <c r="B6" s="56" t="s">
        <v>57</v>
      </c>
      <c r="C6" s="51">
        <v>17138500.539999999</v>
      </c>
      <c r="D6" s="51">
        <v>16769570</v>
      </c>
      <c r="E6" s="52">
        <f t="shared" si="0"/>
        <v>-2.152641878669271E-2</v>
      </c>
      <c r="F6" s="51">
        <v>1707024.19</v>
      </c>
      <c r="G6" s="51">
        <v>1825674.62</v>
      </c>
      <c r="H6" s="52">
        <f t="shared" si="1"/>
        <v>6.9507175525146001E-2</v>
      </c>
      <c r="I6" s="51">
        <v>3336790</v>
      </c>
      <c r="J6" s="57">
        <v>3336790</v>
      </c>
      <c r="K6" s="52">
        <f t="shared" si="2"/>
        <v>0</v>
      </c>
      <c r="L6" s="53"/>
      <c r="M6" s="56" t="s">
        <v>57</v>
      </c>
      <c r="N6" s="54">
        <f t="shared" si="3"/>
        <v>22182314.73</v>
      </c>
      <c r="O6" s="54">
        <f t="shared" si="4"/>
        <v>21932034.620000001</v>
      </c>
      <c r="P6" s="55">
        <f t="shared" si="5"/>
        <v>-1.128286714197204E-2</v>
      </c>
    </row>
    <row r="7" spans="1:20" x14ac:dyDescent="0.2">
      <c r="A7" s="185"/>
      <c r="B7" s="56" t="s">
        <v>139</v>
      </c>
      <c r="C7" s="51">
        <v>24182219.879999999</v>
      </c>
      <c r="D7" s="51">
        <v>26370811.579999998</v>
      </c>
      <c r="E7" s="52">
        <f t="shared" si="0"/>
        <v>9.0504168387373019E-2</v>
      </c>
      <c r="F7" s="51">
        <v>3120128.57</v>
      </c>
      <c r="G7" s="51">
        <v>3144798.85</v>
      </c>
      <c r="H7" s="52">
        <f t="shared" si="1"/>
        <v>7.9068151989647849E-3</v>
      </c>
      <c r="I7" s="51">
        <v>5094054.99</v>
      </c>
      <c r="J7" s="57">
        <v>7462592.4000000004</v>
      </c>
      <c r="K7" s="52">
        <f t="shared" si="2"/>
        <v>0.46496109968377081</v>
      </c>
      <c r="L7" s="53"/>
      <c r="M7" s="56" t="s">
        <v>139</v>
      </c>
      <c r="N7" s="54">
        <f t="shared" si="3"/>
        <v>32396403.439999998</v>
      </c>
      <c r="O7" s="54">
        <f t="shared" si="4"/>
        <v>36978202.829999998</v>
      </c>
      <c r="P7" s="55">
        <f t="shared" si="5"/>
        <v>0.14142926076611426</v>
      </c>
    </row>
    <row r="8" spans="1:20" x14ac:dyDescent="0.2">
      <c r="A8" s="185"/>
      <c r="B8" s="56" t="s">
        <v>59</v>
      </c>
      <c r="C8" s="51">
        <v>356742027.85000002</v>
      </c>
      <c r="D8" s="51">
        <v>347167069.89999998</v>
      </c>
      <c r="E8" s="52">
        <f t="shared" si="0"/>
        <v>-2.6840005389065197E-2</v>
      </c>
      <c r="F8" s="51">
        <v>70041584.849999994</v>
      </c>
      <c r="G8" s="51">
        <v>68546125.950000003</v>
      </c>
      <c r="H8" s="52">
        <f t="shared" si="1"/>
        <v>-2.1351014589442021E-2</v>
      </c>
      <c r="I8" s="51">
        <v>72029619.540000007</v>
      </c>
      <c r="J8" s="57">
        <v>68481238.209999993</v>
      </c>
      <c r="K8" s="52">
        <f t="shared" si="2"/>
        <v>-4.9262808170595716E-2</v>
      </c>
      <c r="L8" s="53"/>
      <c r="M8" s="56" t="s">
        <v>59</v>
      </c>
      <c r="N8" s="54">
        <f t="shared" si="3"/>
        <v>498813232.24000007</v>
      </c>
      <c r="O8" s="54">
        <f t="shared" si="4"/>
        <v>484194434.05999994</v>
      </c>
      <c r="P8" s="55">
        <f t="shared" si="5"/>
        <v>-2.9307157940361948E-2</v>
      </c>
      <c r="Q8" s="18">
        <f>SUM(N5:N7)</f>
        <v>73177542.629999995</v>
      </c>
      <c r="R8" s="18">
        <f>SUM(O5:O7)</f>
        <v>77430109.849999994</v>
      </c>
      <c r="S8" s="18">
        <f>R8-Q8</f>
        <v>4252567.2199999988</v>
      </c>
      <c r="T8" s="58">
        <f>S8/Q8</f>
        <v>5.8113009362746881E-2</v>
      </c>
    </row>
    <row r="9" spans="1:20" x14ac:dyDescent="0.2">
      <c r="A9" s="185"/>
      <c r="B9" s="56" t="s">
        <v>60</v>
      </c>
      <c r="C9" s="51">
        <v>2380068.84</v>
      </c>
      <c r="D9" s="51">
        <v>2654898.39</v>
      </c>
      <c r="E9" s="52">
        <f t="shared" si="0"/>
        <v>0.11547126090689053</v>
      </c>
      <c r="F9" s="51">
        <v>74244.679999999993</v>
      </c>
      <c r="G9" s="51">
        <v>76080.679999999993</v>
      </c>
      <c r="H9" s="52">
        <f t="shared" si="1"/>
        <v>2.4729044559152254E-2</v>
      </c>
      <c r="I9" s="51">
        <v>50010</v>
      </c>
      <c r="J9" s="57">
        <v>0</v>
      </c>
      <c r="K9" s="52">
        <f t="shared" si="2"/>
        <v>-1</v>
      </c>
      <c r="L9" s="53"/>
      <c r="M9" s="56" t="s">
        <v>60</v>
      </c>
      <c r="N9" s="54">
        <f t="shared" si="3"/>
        <v>2504323.52</v>
      </c>
      <c r="O9" s="54">
        <f t="shared" si="4"/>
        <v>2730979.0700000003</v>
      </c>
      <c r="P9" s="55">
        <f t="shared" si="5"/>
        <v>9.0505698720587141E-2</v>
      </c>
    </row>
    <row r="10" spans="1:20" x14ac:dyDescent="0.2">
      <c r="A10" s="185"/>
      <c r="B10" s="50" t="s">
        <v>140</v>
      </c>
      <c r="C10" s="51">
        <v>70893294.769999996</v>
      </c>
      <c r="D10" s="51">
        <f>SUM(D11:D14)</f>
        <v>74643225.170100003</v>
      </c>
      <c r="E10" s="52">
        <f t="shared" si="0"/>
        <v>5.2895417151452108E-2</v>
      </c>
      <c r="F10" s="51">
        <v>21678620.539999999</v>
      </c>
      <c r="G10" s="51">
        <f>SUM(G11:G14)</f>
        <v>23506039.629999999</v>
      </c>
      <c r="H10" s="52">
        <f t="shared" si="1"/>
        <v>8.4295912031310455E-2</v>
      </c>
      <c r="I10" s="51">
        <v>24598885.600000001</v>
      </c>
      <c r="J10" s="51">
        <f>SUM(J11:J14)</f>
        <v>7307782.71</v>
      </c>
      <c r="K10" s="52">
        <f t="shared" si="2"/>
        <v>-0.70292220432945141</v>
      </c>
      <c r="L10" s="53"/>
      <c r="M10" s="50" t="s">
        <v>140</v>
      </c>
      <c r="N10" s="54">
        <f t="shared" si="3"/>
        <v>117170800.91</v>
      </c>
      <c r="O10" s="54">
        <f t="shared" si="4"/>
        <v>105457047.51009999</v>
      </c>
      <c r="P10" s="55">
        <f t="shared" si="5"/>
        <v>-9.9971608190145E-2</v>
      </c>
    </row>
    <row r="11" spans="1:20" x14ac:dyDescent="0.2">
      <c r="A11" s="185"/>
      <c r="B11" s="56" t="s">
        <v>62</v>
      </c>
      <c r="C11" s="51">
        <v>0</v>
      </c>
      <c r="D11" s="51">
        <v>0</v>
      </c>
      <c r="E11" s="24">
        <v>0</v>
      </c>
      <c r="F11" s="51">
        <v>0</v>
      </c>
      <c r="G11" s="51">
        <v>0</v>
      </c>
      <c r="H11" s="52">
        <v>0</v>
      </c>
      <c r="I11" s="51">
        <v>0</v>
      </c>
      <c r="J11" s="51">
        <v>0</v>
      </c>
      <c r="K11" s="52">
        <v>0</v>
      </c>
      <c r="L11" s="53"/>
      <c r="M11" s="56" t="s">
        <v>62</v>
      </c>
      <c r="N11" s="54">
        <f t="shared" si="3"/>
        <v>0</v>
      </c>
      <c r="O11" s="54">
        <f t="shared" si="4"/>
        <v>0</v>
      </c>
      <c r="P11" s="55">
        <v>0</v>
      </c>
    </row>
    <row r="12" spans="1:20" x14ac:dyDescent="0.2">
      <c r="A12" s="185"/>
      <c r="B12" s="56" t="s">
        <v>63</v>
      </c>
      <c r="C12" s="51">
        <v>70662294.769999996</v>
      </c>
      <c r="D12" s="51">
        <v>74412225.170000002</v>
      </c>
      <c r="E12" s="52">
        <f t="shared" ref="E12:E27" si="6">(D12-C12)/C12</f>
        <v>5.3068335980394121E-2</v>
      </c>
      <c r="F12" s="51">
        <v>21403620.539999999</v>
      </c>
      <c r="G12" s="51">
        <v>21331039.629999999</v>
      </c>
      <c r="H12" s="52">
        <f>(G12-F12)/F12</f>
        <v>-3.391057595342706E-3</v>
      </c>
      <c r="I12" s="51">
        <v>24148885.600000001</v>
      </c>
      <c r="J12" s="51">
        <v>6857782.71</v>
      </c>
      <c r="K12" s="52">
        <f t="shared" ref="K12:K27" si="7">(J12-I12)/I12</f>
        <v>-0.71602073803355959</v>
      </c>
      <c r="L12" s="53"/>
      <c r="M12" s="56" t="s">
        <v>63</v>
      </c>
      <c r="N12" s="54">
        <f t="shared" si="3"/>
        <v>116214800.91</v>
      </c>
      <c r="O12" s="54">
        <f t="shared" si="4"/>
        <v>102601047.50999999</v>
      </c>
      <c r="P12" s="55">
        <f t="shared" ref="P12:P27" si="8">(O12-N12)/N12</f>
        <v>-0.11714302561635741</v>
      </c>
    </row>
    <row r="13" spans="1:20" x14ac:dyDescent="0.2">
      <c r="A13" s="185"/>
      <c r="B13" s="56" t="s">
        <v>141</v>
      </c>
      <c r="C13" s="51">
        <v>231000</v>
      </c>
      <c r="D13" s="51">
        <v>231000</v>
      </c>
      <c r="E13" s="52">
        <f t="shared" si="6"/>
        <v>0</v>
      </c>
      <c r="F13" s="51">
        <v>275000</v>
      </c>
      <c r="G13" s="51">
        <v>275000</v>
      </c>
      <c r="H13" s="52">
        <f>(G13-F13)/F13</f>
        <v>0</v>
      </c>
      <c r="I13" s="51">
        <v>250000</v>
      </c>
      <c r="J13" s="51">
        <v>250000</v>
      </c>
      <c r="K13" s="52">
        <f t="shared" si="7"/>
        <v>0</v>
      </c>
      <c r="L13" s="53"/>
      <c r="M13" s="56" t="s">
        <v>141</v>
      </c>
      <c r="N13" s="54">
        <f t="shared" si="3"/>
        <v>756000</v>
      </c>
      <c r="O13" s="54">
        <f t="shared" si="4"/>
        <v>756000</v>
      </c>
      <c r="P13" s="55">
        <f t="shared" si="8"/>
        <v>0</v>
      </c>
    </row>
    <row r="14" spans="1:20" x14ac:dyDescent="0.2">
      <c r="A14" s="185"/>
      <c r="B14" s="56" t="s">
        <v>142</v>
      </c>
      <c r="C14" s="51">
        <v>1E-4</v>
      </c>
      <c r="D14" s="51">
        <v>1E-4</v>
      </c>
      <c r="E14" s="52">
        <f t="shared" si="6"/>
        <v>0</v>
      </c>
      <c r="F14" s="51">
        <v>0</v>
      </c>
      <c r="G14" s="51">
        <v>1900000</v>
      </c>
      <c r="H14" s="52">
        <v>0</v>
      </c>
      <c r="I14" s="51">
        <v>200000</v>
      </c>
      <c r="J14" s="51">
        <v>200000</v>
      </c>
      <c r="K14" s="52">
        <f t="shared" si="7"/>
        <v>0</v>
      </c>
      <c r="L14" s="53"/>
      <c r="M14" s="56" t="s">
        <v>142</v>
      </c>
      <c r="N14" s="54">
        <f t="shared" si="3"/>
        <v>200000.0001</v>
      </c>
      <c r="O14" s="54">
        <f t="shared" si="4"/>
        <v>2100000.0000999998</v>
      </c>
      <c r="P14" s="55">
        <f t="shared" si="8"/>
        <v>9.4999999952499987</v>
      </c>
    </row>
    <row r="15" spans="1:20" s="48" customFormat="1" ht="11.25" x14ac:dyDescent="0.2">
      <c r="A15" s="185"/>
      <c r="B15" s="59" t="s">
        <v>130</v>
      </c>
      <c r="C15" s="60">
        <v>485713042.10000002</v>
      </c>
      <c r="D15" s="60">
        <f>D10+D4</f>
        <v>481765585.04009998</v>
      </c>
      <c r="E15" s="61">
        <f t="shared" si="6"/>
        <v>-8.1271382848462428E-3</v>
      </c>
      <c r="F15" s="60">
        <v>97843497.069999993</v>
      </c>
      <c r="G15" s="60">
        <f>G10+G4</f>
        <v>98458582.13000001</v>
      </c>
      <c r="H15" s="61">
        <f t="shared" ref="H15:H27" si="9">(G15-F15)/F15</f>
        <v>6.2864173748815224E-3</v>
      </c>
      <c r="I15" s="60">
        <v>108109360.13</v>
      </c>
      <c r="J15" s="60">
        <f>J10+J4</f>
        <v>89588403.319999993</v>
      </c>
      <c r="K15" s="61">
        <f t="shared" si="7"/>
        <v>-0.17131686643717817</v>
      </c>
      <c r="L15" s="62"/>
      <c r="M15" s="59" t="s">
        <v>130</v>
      </c>
      <c r="N15" s="63">
        <f t="shared" si="3"/>
        <v>691665899.30000007</v>
      </c>
      <c r="O15" s="63">
        <f t="shared" si="4"/>
        <v>669812570.49009991</v>
      </c>
      <c r="P15" s="64">
        <f t="shared" si="8"/>
        <v>-3.1595209236159841E-2</v>
      </c>
    </row>
    <row r="16" spans="1:20" x14ac:dyDescent="0.2">
      <c r="A16" s="186" t="s">
        <v>108</v>
      </c>
      <c r="B16" s="50" t="s">
        <v>138</v>
      </c>
      <c r="C16" s="51">
        <v>357754601.38</v>
      </c>
      <c r="D16" s="51">
        <f>SUM(D17:D21)</f>
        <v>376496504.43000001</v>
      </c>
      <c r="E16" s="52">
        <f t="shared" si="6"/>
        <v>5.2387594674408469E-2</v>
      </c>
      <c r="F16" s="51">
        <v>59622753.399999999</v>
      </c>
      <c r="G16" s="51">
        <f>SUM(G17:G21)</f>
        <v>62471767.399999999</v>
      </c>
      <c r="H16" s="52">
        <f t="shared" si="9"/>
        <v>4.778400589597729E-2</v>
      </c>
      <c r="I16" s="51">
        <v>75306803.849999994</v>
      </c>
      <c r="J16" s="51">
        <f>SUM(J17:J21)</f>
        <v>76157906.539999992</v>
      </c>
      <c r="K16" s="52">
        <f t="shared" si="7"/>
        <v>1.1301803376163305E-2</v>
      </c>
      <c r="L16" s="53"/>
      <c r="M16" s="50" t="s">
        <v>138</v>
      </c>
      <c r="N16" s="54">
        <f t="shared" si="3"/>
        <v>492684158.63</v>
      </c>
      <c r="O16" s="54">
        <f t="shared" si="4"/>
        <v>515126178.37</v>
      </c>
      <c r="P16" s="55">
        <f t="shared" si="8"/>
        <v>4.5550520240805435E-2</v>
      </c>
    </row>
    <row r="17" spans="1:16" x14ac:dyDescent="0.2">
      <c r="A17" s="186"/>
      <c r="B17" s="56" t="s">
        <v>143</v>
      </c>
      <c r="C17" s="51">
        <v>145598506.99000001</v>
      </c>
      <c r="D17" s="51">
        <v>155318109.44999999</v>
      </c>
      <c r="E17" s="52">
        <f t="shared" si="6"/>
        <v>6.6756195931786166E-2</v>
      </c>
      <c r="F17" s="51">
        <v>22528304.199999999</v>
      </c>
      <c r="G17" s="51">
        <v>24287284.280000001</v>
      </c>
      <c r="H17" s="52">
        <f t="shared" si="9"/>
        <v>7.8078672250883496E-2</v>
      </c>
      <c r="I17" s="51">
        <v>35005758.18</v>
      </c>
      <c r="J17" s="51">
        <v>35143001.869999997</v>
      </c>
      <c r="K17" s="52">
        <f t="shared" si="7"/>
        <v>3.9206032703045322E-3</v>
      </c>
      <c r="L17" s="53"/>
      <c r="M17" s="56" t="s">
        <v>143</v>
      </c>
      <c r="N17" s="54">
        <f t="shared" si="3"/>
        <v>203132569.37</v>
      </c>
      <c r="O17" s="54">
        <f t="shared" si="4"/>
        <v>214748395.59999999</v>
      </c>
      <c r="P17" s="55">
        <f t="shared" si="8"/>
        <v>5.7183475136584831E-2</v>
      </c>
    </row>
    <row r="18" spans="1:16" x14ac:dyDescent="0.2">
      <c r="A18" s="186"/>
      <c r="B18" s="56" t="s">
        <v>144</v>
      </c>
      <c r="C18" s="51">
        <v>160788099.09999999</v>
      </c>
      <c r="D18" s="51">
        <v>168305322.49000001</v>
      </c>
      <c r="E18" s="52">
        <f t="shared" si="6"/>
        <v>4.6752361848153824E-2</v>
      </c>
      <c r="F18" s="51">
        <v>14698393.970000001</v>
      </c>
      <c r="G18" s="51">
        <v>16033889.93</v>
      </c>
      <c r="H18" s="52">
        <f t="shared" si="9"/>
        <v>9.0859992100211673E-2</v>
      </c>
      <c r="I18" s="51">
        <v>22952265.829999998</v>
      </c>
      <c r="J18" s="51">
        <v>23365815.870000001</v>
      </c>
      <c r="K18" s="52">
        <f t="shared" si="7"/>
        <v>1.8017830704080987E-2</v>
      </c>
      <c r="L18" s="53"/>
      <c r="M18" s="56" t="s">
        <v>144</v>
      </c>
      <c r="N18" s="54">
        <f t="shared" si="3"/>
        <v>198438758.89999998</v>
      </c>
      <c r="O18" s="54">
        <f t="shared" si="4"/>
        <v>207705028.29000002</v>
      </c>
      <c r="P18" s="55">
        <f t="shared" si="8"/>
        <v>4.6695864464006413E-2</v>
      </c>
    </row>
    <row r="19" spans="1:16" x14ac:dyDescent="0.2">
      <c r="A19" s="186"/>
      <c r="B19" s="56" t="s">
        <v>145</v>
      </c>
      <c r="C19" s="51">
        <v>765161.8</v>
      </c>
      <c r="D19" s="51">
        <v>1024660.14</v>
      </c>
      <c r="E19" s="52">
        <f t="shared" si="6"/>
        <v>0.33914178674366646</v>
      </c>
      <c r="F19" s="51">
        <v>668372.09</v>
      </c>
      <c r="G19" s="51">
        <v>154209.98000000001</v>
      </c>
      <c r="H19" s="52">
        <f t="shared" si="9"/>
        <v>-0.76927525504543437</v>
      </c>
      <c r="I19" s="51">
        <v>92000</v>
      </c>
      <c r="J19" s="51">
        <v>32000</v>
      </c>
      <c r="K19" s="52">
        <f t="shared" si="7"/>
        <v>-0.65217391304347827</v>
      </c>
      <c r="L19" s="53"/>
      <c r="M19" s="56" t="s">
        <v>145</v>
      </c>
      <c r="N19" s="54">
        <f t="shared" si="3"/>
        <v>1525533.8900000001</v>
      </c>
      <c r="O19" s="54">
        <f t="shared" si="4"/>
        <v>1210870.1200000001</v>
      </c>
      <c r="P19" s="55">
        <f t="shared" si="8"/>
        <v>-0.20626468678450663</v>
      </c>
    </row>
    <row r="20" spans="1:16" x14ac:dyDescent="0.2">
      <c r="A20" s="186"/>
      <c r="B20" s="56" t="s">
        <v>59</v>
      </c>
      <c r="C20" s="51">
        <v>48602833.490000002</v>
      </c>
      <c r="D20" s="51">
        <v>49848412.350000001</v>
      </c>
      <c r="E20" s="52">
        <f t="shared" si="6"/>
        <v>2.5627700497261673E-2</v>
      </c>
      <c r="F20" s="51">
        <v>21427683.140000001</v>
      </c>
      <c r="G20" s="51">
        <v>21656383.210000001</v>
      </c>
      <c r="H20" s="52">
        <f t="shared" si="9"/>
        <v>1.0673112370841242E-2</v>
      </c>
      <c r="I20" s="51">
        <v>17003939</v>
      </c>
      <c r="J20" s="51">
        <v>16633515.880000001</v>
      </c>
      <c r="K20" s="52">
        <f t="shared" si="7"/>
        <v>-2.1784547686274292E-2</v>
      </c>
      <c r="L20" s="53"/>
      <c r="M20" s="56" t="s">
        <v>59</v>
      </c>
      <c r="N20" s="54">
        <f t="shared" si="3"/>
        <v>87034455.629999995</v>
      </c>
      <c r="O20" s="54">
        <f t="shared" si="4"/>
        <v>88138311.439999998</v>
      </c>
      <c r="P20" s="55">
        <f t="shared" si="8"/>
        <v>1.2682974828873556E-2</v>
      </c>
    </row>
    <row r="21" spans="1:16" x14ac:dyDescent="0.2">
      <c r="A21" s="186"/>
      <c r="B21" s="56" t="s">
        <v>146</v>
      </c>
      <c r="C21" s="51">
        <v>2000000</v>
      </c>
      <c r="D21" s="51">
        <v>2000000</v>
      </c>
      <c r="E21" s="52">
        <f t="shared" si="6"/>
        <v>0</v>
      </c>
      <c r="F21" s="51">
        <v>300000</v>
      </c>
      <c r="G21" s="51">
        <v>340000</v>
      </c>
      <c r="H21" s="52">
        <f t="shared" si="9"/>
        <v>0.13333333333333333</v>
      </c>
      <c r="I21" s="51">
        <v>252840.84</v>
      </c>
      <c r="J21" s="51">
        <v>983572.92</v>
      </c>
      <c r="K21" s="52">
        <f t="shared" si="7"/>
        <v>2.8900872185047324</v>
      </c>
      <c r="L21" s="53"/>
      <c r="M21" s="56" t="s">
        <v>146</v>
      </c>
      <c r="N21" s="54">
        <f t="shared" si="3"/>
        <v>2552840.84</v>
      </c>
      <c r="O21" s="54">
        <f t="shared" si="4"/>
        <v>3323572.92</v>
      </c>
      <c r="P21" s="55">
        <f t="shared" si="8"/>
        <v>0.30191152849152952</v>
      </c>
    </row>
    <row r="22" spans="1:16" x14ac:dyDescent="0.2">
      <c r="A22" s="186"/>
      <c r="B22" s="50" t="s">
        <v>140</v>
      </c>
      <c r="C22" s="51">
        <v>127958440.72</v>
      </c>
      <c r="D22" s="51">
        <f>SUM(D23:D26)</f>
        <v>105269080.61</v>
      </c>
      <c r="E22" s="52">
        <f t="shared" si="6"/>
        <v>-0.1773181978643292</v>
      </c>
      <c r="F22" s="51">
        <v>38220743.670000002</v>
      </c>
      <c r="G22" s="51">
        <f>SUM(G23:G26)</f>
        <v>35986814.730000004</v>
      </c>
      <c r="H22" s="52">
        <f t="shared" si="9"/>
        <v>-5.8448076240689158E-2</v>
      </c>
      <c r="I22" s="51">
        <v>32802556.280000001</v>
      </c>
      <c r="J22" s="51">
        <f>SUM(J23:J26)</f>
        <v>13430496.780000001</v>
      </c>
      <c r="K22" s="52">
        <f t="shared" si="7"/>
        <v>-0.5905655441802049</v>
      </c>
      <c r="L22" s="53"/>
      <c r="M22" s="50" t="s">
        <v>140</v>
      </c>
      <c r="N22" s="54">
        <f t="shared" si="3"/>
        <v>198981740.66999999</v>
      </c>
      <c r="O22" s="54">
        <f t="shared" si="4"/>
        <v>154686392.12</v>
      </c>
      <c r="P22" s="55">
        <f t="shared" si="8"/>
        <v>-0.22261011689239027</v>
      </c>
    </row>
    <row r="23" spans="1:16" x14ac:dyDescent="0.2">
      <c r="A23" s="186"/>
      <c r="B23" s="56" t="s">
        <v>81</v>
      </c>
      <c r="C23" s="51">
        <v>93337767.769999996</v>
      </c>
      <c r="D23" s="51">
        <v>80530425.329999998</v>
      </c>
      <c r="E23" s="52">
        <f t="shared" si="6"/>
        <v>-0.13721500680795634</v>
      </c>
      <c r="F23" s="51">
        <v>22225584.789999999</v>
      </c>
      <c r="G23" s="51">
        <v>22816074.039999999</v>
      </c>
      <c r="H23" s="52">
        <f t="shared" si="9"/>
        <v>2.6567996099057873E-2</v>
      </c>
      <c r="I23" s="51">
        <v>22224368.32</v>
      </c>
      <c r="J23" s="51">
        <v>5194301.16</v>
      </c>
      <c r="K23" s="52">
        <f t="shared" si="7"/>
        <v>-0.76627901926348208</v>
      </c>
      <c r="L23" s="53"/>
      <c r="M23" s="56" t="s">
        <v>81</v>
      </c>
      <c r="N23" s="54">
        <f t="shared" si="3"/>
        <v>137787720.88</v>
      </c>
      <c r="O23" s="54">
        <f t="shared" si="4"/>
        <v>108540800.53</v>
      </c>
      <c r="P23" s="55">
        <f t="shared" si="8"/>
        <v>-0.21226071643547453</v>
      </c>
    </row>
    <row r="24" spans="1:16" x14ac:dyDescent="0.2">
      <c r="A24" s="186"/>
      <c r="B24" s="56" t="s">
        <v>63</v>
      </c>
      <c r="C24" s="51">
        <v>31070169.32</v>
      </c>
      <c r="D24" s="51">
        <v>23457655.280000001</v>
      </c>
      <c r="E24" s="52">
        <f t="shared" si="6"/>
        <v>-0.24501038155269375</v>
      </c>
      <c r="F24" s="51">
        <v>10593441.01</v>
      </c>
      <c r="G24" s="51">
        <v>9689742.3499999996</v>
      </c>
      <c r="H24" s="52">
        <f t="shared" si="9"/>
        <v>-8.5307376436695725E-2</v>
      </c>
      <c r="I24" s="51">
        <v>10128187.960000001</v>
      </c>
      <c r="J24" s="51">
        <v>7786195.6200000001</v>
      </c>
      <c r="K24" s="52">
        <f t="shared" si="7"/>
        <v>-0.23123507869812485</v>
      </c>
      <c r="L24" s="53"/>
      <c r="M24" s="56" t="s">
        <v>63</v>
      </c>
      <c r="N24" s="54">
        <f t="shared" si="3"/>
        <v>51791798.289999999</v>
      </c>
      <c r="O24" s="54">
        <f t="shared" si="4"/>
        <v>40933593.25</v>
      </c>
      <c r="P24" s="55">
        <f t="shared" si="8"/>
        <v>-0.20965105284047475</v>
      </c>
    </row>
    <row r="25" spans="1:16" x14ac:dyDescent="0.2">
      <c r="A25" s="186"/>
      <c r="B25" s="56" t="s">
        <v>141</v>
      </c>
      <c r="C25" s="51">
        <v>231000</v>
      </c>
      <c r="D25" s="51">
        <v>231000</v>
      </c>
      <c r="E25" s="52">
        <f t="shared" si="6"/>
        <v>0</v>
      </c>
      <c r="F25" s="51">
        <v>275000</v>
      </c>
      <c r="G25" s="51">
        <v>275000</v>
      </c>
      <c r="H25" s="52">
        <f t="shared" si="9"/>
        <v>0</v>
      </c>
      <c r="I25" s="51">
        <v>250000</v>
      </c>
      <c r="J25" s="51">
        <v>250000</v>
      </c>
      <c r="K25" s="52">
        <f t="shared" si="7"/>
        <v>0</v>
      </c>
      <c r="L25" s="53"/>
      <c r="M25" s="56" t="s">
        <v>141</v>
      </c>
      <c r="N25" s="54">
        <f t="shared" si="3"/>
        <v>756000</v>
      </c>
      <c r="O25" s="54">
        <f t="shared" si="4"/>
        <v>756000</v>
      </c>
      <c r="P25" s="55">
        <f t="shared" si="8"/>
        <v>0</v>
      </c>
    </row>
    <row r="26" spans="1:16" x14ac:dyDescent="0.2">
      <c r="A26" s="186"/>
      <c r="B26" s="56" t="s">
        <v>142</v>
      </c>
      <c r="C26" s="51">
        <v>3319503.63</v>
      </c>
      <c r="D26" s="51">
        <v>1050000</v>
      </c>
      <c r="E26" s="52">
        <f t="shared" si="6"/>
        <v>-0.68368764820419847</v>
      </c>
      <c r="F26" s="51">
        <v>5126717.87</v>
      </c>
      <c r="G26" s="51">
        <v>3205998.34</v>
      </c>
      <c r="H26" s="52">
        <f t="shared" si="9"/>
        <v>-0.37464896229992861</v>
      </c>
      <c r="I26" s="51">
        <v>200000</v>
      </c>
      <c r="J26" s="51">
        <v>200000</v>
      </c>
      <c r="K26" s="52">
        <f t="shared" si="7"/>
        <v>0</v>
      </c>
      <c r="L26" s="65"/>
      <c r="M26" s="56" t="s">
        <v>142</v>
      </c>
      <c r="N26" s="54">
        <f t="shared" si="3"/>
        <v>8646221.5</v>
      </c>
      <c r="O26" s="54">
        <f t="shared" si="4"/>
        <v>4455998.34</v>
      </c>
      <c r="P26" s="55">
        <f t="shared" si="8"/>
        <v>-0.48463055914077613</v>
      </c>
    </row>
    <row r="27" spans="1:16" s="48" customFormat="1" ht="11.25" x14ac:dyDescent="0.2">
      <c r="A27" s="186"/>
      <c r="B27" s="59" t="s">
        <v>130</v>
      </c>
      <c r="C27" s="60">
        <v>485713042.10000002</v>
      </c>
      <c r="D27" s="60">
        <f>D22+D16</f>
        <v>481765585.04000002</v>
      </c>
      <c r="E27" s="61">
        <f t="shared" si="6"/>
        <v>-8.1271382850520383E-3</v>
      </c>
      <c r="F27" s="60">
        <v>97843497.069999993</v>
      </c>
      <c r="G27" s="60">
        <f>G22+G16</f>
        <v>98458582.129999995</v>
      </c>
      <c r="H27" s="61">
        <f t="shared" si="9"/>
        <v>6.2864173748813697E-3</v>
      </c>
      <c r="I27" s="60">
        <v>108109360.13</v>
      </c>
      <c r="J27" s="66">
        <f>J22+J16</f>
        <v>89588403.319999993</v>
      </c>
      <c r="K27" s="61">
        <f t="shared" si="7"/>
        <v>-0.17131686643717817</v>
      </c>
      <c r="L27" s="62"/>
      <c r="M27" s="59" t="s">
        <v>130</v>
      </c>
      <c r="N27" s="63">
        <f t="shared" si="3"/>
        <v>691665899.30000007</v>
      </c>
      <c r="O27" s="63">
        <f t="shared" si="4"/>
        <v>669812570.49000001</v>
      </c>
      <c r="P27" s="64">
        <f t="shared" si="8"/>
        <v>-3.1595209236304274E-2</v>
      </c>
    </row>
    <row r="28" spans="1:16" s="68" customFormat="1" ht="11.25" x14ac:dyDescent="0.2">
      <c r="A28" s="187" t="s">
        <v>147</v>
      </c>
      <c r="B28" s="187"/>
      <c r="C28" s="187"/>
      <c r="D28" s="187"/>
      <c r="E28" s="187"/>
      <c r="F28" s="187"/>
      <c r="G28" s="187"/>
      <c r="H28" s="187"/>
      <c r="I28" s="187"/>
      <c r="J28" s="187"/>
      <c r="K28" s="187"/>
      <c r="L28" s="67"/>
    </row>
    <row r="29" spans="1:16" x14ac:dyDescent="0.2">
      <c r="F29" s="18" t="s">
        <v>76</v>
      </c>
      <c r="J29" s="18"/>
    </row>
    <row r="30" spans="1:16" x14ac:dyDescent="0.2">
      <c r="D30" s="71"/>
      <c r="J30" s="18"/>
    </row>
    <row r="31" spans="1:16" x14ac:dyDescent="0.2">
      <c r="D31" s="71"/>
      <c r="G31" s="71"/>
      <c r="J31" s="16"/>
    </row>
    <row r="32" spans="1:16" x14ac:dyDescent="0.2">
      <c r="D32" s="16"/>
      <c r="E32" s="16"/>
      <c r="F32" s="16"/>
      <c r="G32" s="16"/>
      <c r="H32" s="16"/>
      <c r="I32" s="16"/>
      <c r="J32" s="16"/>
    </row>
  </sheetData>
  <mergeCells count="9">
    <mergeCell ref="M3:P3"/>
    <mergeCell ref="A4:A15"/>
    <mergeCell ref="A16:A27"/>
    <mergeCell ref="A28:K28"/>
    <mergeCell ref="A1:K1"/>
    <mergeCell ref="A2:B3"/>
    <mergeCell ref="C2:E2"/>
    <mergeCell ref="F2:H2"/>
    <mergeCell ref="I2:K2"/>
  </mergeCells>
  <pageMargins left="0.39370078740157477" right="0.15748031496062992" top="0.78740157480314954" bottom="0.78740157480314954" header="0.39370078740157477" footer="0.39370078740157477"/>
  <pageSetup paperSize="0" fitToWidth="0" fitToHeight="0" orientation="portrait" horizontalDpi="0" verticalDpi="0" copies="0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theme="9"/>
  </sheetPr>
  <dimension ref="A1:AMJ28"/>
  <sheetViews>
    <sheetView workbookViewId="0">
      <selection sqref="A1:G1"/>
    </sheetView>
  </sheetViews>
  <sheetFormatPr baseColWidth="10" defaultRowHeight="14.25" x14ac:dyDescent="0.2"/>
  <cols>
    <col min="1" max="1" width="11" style="1" customWidth="1"/>
    <col min="2" max="2" width="24.75" style="1" customWidth="1"/>
    <col min="3" max="4" width="13.25" style="1" customWidth="1"/>
    <col min="5" max="6" width="10.125" style="1" customWidth="1"/>
    <col min="7" max="7" width="13.5" style="1" customWidth="1"/>
    <col min="8" max="1024" width="10.125" style="1" customWidth="1"/>
  </cols>
  <sheetData>
    <row r="1" spans="1:7" ht="23.25" customHeight="1" x14ac:dyDescent="0.2">
      <c r="A1" s="189" t="s">
        <v>148</v>
      </c>
      <c r="B1" s="189"/>
      <c r="C1" s="189"/>
      <c r="D1" s="189"/>
      <c r="E1" s="189"/>
    </row>
    <row r="2" spans="1:7" x14ac:dyDescent="0.2">
      <c r="A2" s="174"/>
      <c r="B2" s="174"/>
      <c r="C2" s="46">
        <v>2019</v>
      </c>
      <c r="D2" s="46">
        <v>2020</v>
      </c>
      <c r="E2" s="49" t="s">
        <v>149</v>
      </c>
    </row>
    <row r="3" spans="1:7" x14ac:dyDescent="0.2">
      <c r="A3" s="185" t="s">
        <v>104</v>
      </c>
      <c r="B3" s="50" t="s">
        <v>138</v>
      </c>
      <c r="C3" s="72">
        <f>SUM(C4:C8)</f>
        <v>1318040318.0899999</v>
      </c>
      <c r="D3" s="72">
        <f>SUM(D4:D8)</f>
        <v>1352801214.3</v>
      </c>
      <c r="E3" s="22">
        <f t="shared" ref="E3:E26" si="0">(D3-C3)/C3</f>
        <v>2.6373166080664957E-2</v>
      </c>
    </row>
    <row r="4" spans="1:7" x14ac:dyDescent="0.2">
      <c r="A4" s="185"/>
      <c r="B4" s="56" t="s">
        <v>56</v>
      </c>
      <c r="C4" s="72">
        <v>602088803.84000003</v>
      </c>
      <c r="D4" s="72">
        <v>614084692.17999995</v>
      </c>
      <c r="E4" s="22">
        <f t="shared" si="0"/>
        <v>1.9923785766306525E-2</v>
      </c>
      <c r="G4" s="38"/>
    </row>
    <row r="5" spans="1:7" x14ac:dyDescent="0.2">
      <c r="A5" s="185"/>
      <c r="B5" s="56" t="s">
        <v>57</v>
      </c>
      <c r="C5" s="72">
        <v>55223728.390000001</v>
      </c>
      <c r="D5" s="72">
        <v>63084913.509999998</v>
      </c>
      <c r="E5" s="22">
        <f t="shared" si="0"/>
        <v>0.14235158235754891</v>
      </c>
      <c r="G5" s="38"/>
    </row>
    <row r="6" spans="1:7" x14ac:dyDescent="0.2">
      <c r="A6" s="185"/>
      <c r="B6" s="56" t="s">
        <v>139</v>
      </c>
      <c r="C6" s="72">
        <v>318871098.02999997</v>
      </c>
      <c r="D6" s="72">
        <v>327319174.31999999</v>
      </c>
      <c r="E6" s="22">
        <f t="shared" si="0"/>
        <v>2.6493703387333058E-2</v>
      </c>
      <c r="G6" s="38"/>
    </row>
    <row r="7" spans="1:7" x14ac:dyDescent="0.2">
      <c r="A7" s="185"/>
      <c r="B7" s="56" t="s">
        <v>59</v>
      </c>
      <c r="C7" s="72">
        <v>306657395.81999999</v>
      </c>
      <c r="D7" s="72">
        <v>312480951.02999997</v>
      </c>
      <c r="E7" s="22">
        <f t="shared" si="0"/>
        <v>1.8990428045695191E-2</v>
      </c>
      <c r="G7" s="38"/>
    </row>
    <row r="8" spans="1:7" x14ac:dyDescent="0.2">
      <c r="A8" s="185"/>
      <c r="B8" s="56" t="s">
        <v>60</v>
      </c>
      <c r="C8" s="72">
        <v>35199292.009999998</v>
      </c>
      <c r="D8" s="72">
        <v>35831483.259999998</v>
      </c>
      <c r="E8" s="22">
        <f t="shared" si="0"/>
        <v>1.7960339935825888E-2</v>
      </c>
      <c r="G8" s="38"/>
    </row>
    <row r="9" spans="1:7" x14ac:dyDescent="0.2">
      <c r="A9" s="185"/>
      <c r="B9" s="50" t="s">
        <v>140</v>
      </c>
      <c r="C9" s="72">
        <f>SUM(C10:C13)</f>
        <v>52820833.490000002</v>
      </c>
      <c r="D9" s="72">
        <f>SUM(D10:D13)</f>
        <v>68863906.799999997</v>
      </c>
      <c r="E9" s="22">
        <f t="shared" si="0"/>
        <v>0.30372624303698759</v>
      </c>
      <c r="G9" s="38"/>
    </row>
    <row r="10" spans="1:7" x14ac:dyDescent="0.2">
      <c r="A10" s="185"/>
      <c r="B10" s="56" t="s">
        <v>62</v>
      </c>
      <c r="C10" s="72">
        <v>866690</v>
      </c>
      <c r="D10" s="72">
        <v>1644509.3</v>
      </c>
      <c r="E10" s="22">
        <f t="shared" si="0"/>
        <v>0.89745964531724154</v>
      </c>
      <c r="G10" s="38"/>
    </row>
    <row r="11" spans="1:7" x14ac:dyDescent="0.2">
      <c r="A11" s="185"/>
      <c r="B11" s="56" t="s">
        <v>63</v>
      </c>
      <c r="C11" s="72">
        <v>44057952.490000002</v>
      </c>
      <c r="D11" s="72">
        <v>50123705.210000001</v>
      </c>
      <c r="E11" s="22">
        <f t="shared" si="0"/>
        <v>0.13767668212399942</v>
      </c>
      <c r="G11" s="38"/>
    </row>
    <row r="12" spans="1:7" x14ac:dyDescent="0.2">
      <c r="A12" s="185"/>
      <c r="B12" s="56" t="s">
        <v>141</v>
      </c>
      <c r="C12" s="72">
        <v>4209071</v>
      </c>
      <c r="D12" s="72">
        <v>4608050</v>
      </c>
      <c r="E12" s="22">
        <f t="shared" si="0"/>
        <v>9.4790275573873664E-2</v>
      </c>
      <c r="G12" s="38"/>
    </row>
    <row r="13" spans="1:7" x14ac:dyDescent="0.2">
      <c r="A13" s="185"/>
      <c r="B13" s="56" t="s">
        <v>142</v>
      </c>
      <c r="C13" s="72">
        <v>3687120</v>
      </c>
      <c r="D13" s="72">
        <v>12487642.289999999</v>
      </c>
      <c r="E13" s="22">
        <f t="shared" si="0"/>
        <v>2.3868282806092558</v>
      </c>
      <c r="G13" s="73"/>
    </row>
    <row r="14" spans="1:7" s="48" customFormat="1" ht="11.25" x14ac:dyDescent="0.2">
      <c r="A14" s="185"/>
      <c r="B14" s="59" t="s">
        <v>130</v>
      </c>
      <c r="C14" s="60">
        <f>C9+C3</f>
        <v>1370861151.5799999</v>
      </c>
      <c r="D14" s="60">
        <f>D9+D3</f>
        <v>1421665121.0999999</v>
      </c>
      <c r="E14" s="61">
        <f t="shared" si="0"/>
        <v>3.7059894403926576E-2</v>
      </c>
    </row>
    <row r="15" spans="1:7" x14ac:dyDescent="0.2">
      <c r="A15" s="185" t="s">
        <v>108</v>
      </c>
      <c r="B15" s="50" t="s">
        <v>138</v>
      </c>
      <c r="C15" s="72">
        <f>SUM(C16:C20)</f>
        <v>1160741659.77</v>
      </c>
      <c r="D15" s="72">
        <f>SUM(D16:D20)</f>
        <v>1218524038.5900002</v>
      </c>
      <c r="E15" s="22">
        <f t="shared" si="0"/>
        <v>4.9780567737570218E-2</v>
      </c>
    </row>
    <row r="16" spans="1:7" x14ac:dyDescent="0.2">
      <c r="A16" s="185"/>
      <c r="B16" s="56" t="s">
        <v>143</v>
      </c>
      <c r="C16" s="72">
        <v>494660813.43000001</v>
      </c>
      <c r="D16" s="72">
        <v>539082372.42999995</v>
      </c>
      <c r="E16" s="22">
        <f t="shared" si="0"/>
        <v>8.9802057882812425E-2</v>
      </c>
      <c r="G16" s="38"/>
    </row>
    <row r="17" spans="1:7" x14ac:dyDescent="0.2">
      <c r="A17" s="185"/>
      <c r="B17" s="56" t="s">
        <v>150</v>
      </c>
      <c r="C17" s="72">
        <v>497442009.67000002</v>
      </c>
      <c r="D17" s="72">
        <v>513935170.22000003</v>
      </c>
      <c r="E17" s="22">
        <f t="shared" si="0"/>
        <v>3.3155946279932152E-2</v>
      </c>
      <c r="G17" s="38"/>
    </row>
    <row r="18" spans="1:7" x14ac:dyDescent="0.2">
      <c r="A18" s="185"/>
      <c r="B18" s="56" t="s">
        <v>145</v>
      </c>
      <c r="C18" s="72">
        <v>13118831.689999999</v>
      </c>
      <c r="D18" s="72">
        <v>11610762.99</v>
      </c>
      <c r="E18" s="22">
        <f t="shared" si="0"/>
        <v>-0.11495449714089588</v>
      </c>
      <c r="G18" s="38"/>
    </row>
    <row r="19" spans="1:7" x14ac:dyDescent="0.2">
      <c r="A19" s="185"/>
      <c r="B19" s="56" t="s">
        <v>59</v>
      </c>
      <c r="C19" s="72">
        <v>144869791.19999999</v>
      </c>
      <c r="D19" s="72">
        <v>146567966.53</v>
      </c>
      <c r="E19" s="22">
        <f t="shared" si="0"/>
        <v>1.1722080331127123E-2</v>
      </c>
      <c r="G19" s="38"/>
    </row>
    <row r="20" spans="1:7" x14ac:dyDescent="0.2">
      <c r="A20" s="185"/>
      <c r="B20" s="56" t="s">
        <v>146</v>
      </c>
      <c r="C20" s="72">
        <v>10650213.779999999</v>
      </c>
      <c r="D20" s="72">
        <v>7327766.4199999999</v>
      </c>
      <c r="E20" s="22">
        <f t="shared" si="0"/>
        <v>-0.3119606262025662</v>
      </c>
      <c r="G20" s="38"/>
    </row>
    <row r="21" spans="1:7" x14ac:dyDescent="0.2">
      <c r="A21" s="185"/>
      <c r="B21" s="50" t="s">
        <v>140</v>
      </c>
      <c r="C21" s="72">
        <f>SUM(C22:C25)</f>
        <v>191150914.56999999</v>
      </c>
      <c r="D21" s="72">
        <f>SUM(D22:D25)</f>
        <v>191260666.24000001</v>
      </c>
      <c r="E21" s="22">
        <f t="shared" si="0"/>
        <v>5.7416241113418965E-4</v>
      </c>
      <c r="G21" s="38"/>
    </row>
    <row r="22" spans="1:7" x14ac:dyDescent="0.2">
      <c r="A22" s="185"/>
      <c r="B22" s="56" t="s">
        <v>81</v>
      </c>
      <c r="C22" s="72">
        <v>125234207.33</v>
      </c>
      <c r="D22" s="72">
        <v>141129299.12</v>
      </c>
      <c r="E22" s="22">
        <f t="shared" si="0"/>
        <v>0.126922924086671</v>
      </c>
      <c r="G22" s="38"/>
    </row>
    <row r="23" spans="1:7" x14ac:dyDescent="0.2">
      <c r="A23" s="185"/>
      <c r="B23" s="56" t="s">
        <v>63</v>
      </c>
      <c r="C23" s="72">
        <v>14835796.25</v>
      </c>
      <c r="D23" s="72">
        <v>10055182.5</v>
      </c>
      <c r="E23" s="22">
        <f t="shared" si="0"/>
        <v>-0.32223506372298688</v>
      </c>
      <c r="G23" s="38"/>
    </row>
    <row r="24" spans="1:7" x14ac:dyDescent="0.2">
      <c r="A24" s="185"/>
      <c r="B24" s="56" t="s">
        <v>141</v>
      </c>
      <c r="C24" s="72">
        <v>2159171</v>
      </c>
      <c r="D24" s="72">
        <v>2298150</v>
      </c>
      <c r="E24" s="22">
        <f t="shared" si="0"/>
        <v>6.4366833381885924E-2</v>
      </c>
      <c r="G24" s="38"/>
    </row>
    <row r="25" spans="1:7" x14ac:dyDescent="0.2">
      <c r="A25" s="185"/>
      <c r="B25" s="56" t="s">
        <v>142</v>
      </c>
      <c r="C25" s="72">
        <v>48921739.990000002</v>
      </c>
      <c r="D25" s="72">
        <v>37778034.619999997</v>
      </c>
      <c r="E25" s="22">
        <f t="shared" si="0"/>
        <v>-0.22778636598530363</v>
      </c>
      <c r="G25" s="38"/>
    </row>
    <row r="26" spans="1:7" s="48" customFormat="1" ht="11.25" x14ac:dyDescent="0.2">
      <c r="A26" s="185"/>
      <c r="B26" s="59" t="s">
        <v>130</v>
      </c>
      <c r="C26" s="60">
        <f>C21+C15</f>
        <v>1351892574.3399999</v>
      </c>
      <c r="D26" s="60">
        <f>D21+D15</f>
        <v>1409784704.8300002</v>
      </c>
      <c r="E26" s="61">
        <f t="shared" si="0"/>
        <v>4.2823025726184974E-2</v>
      </c>
    </row>
    <row r="27" spans="1:7" ht="11.25" customHeight="1" x14ac:dyDescent="0.2">
      <c r="A27" s="187" t="s">
        <v>151</v>
      </c>
      <c r="B27" s="187"/>
      <c r="C27" s="187"/>
      <c r="D27" s="187"/>
      <c r="E27" s="187"/>
    </row>
    <row r="28" spans="1:7" x14ac:dyDescent="0.2">
      <c r="D28" s="74"/>
    </row>
  </sheetData>
  <mergeCells count="5">
    <mergeCell ref="A1:E1"/>
    <mergeCell ref="A2:B2"/>
    <mergeCell ref="A3:A14"/>
    <mergeCell ref="A15:A26"/>
    <mergeCell ref="A27:E27"/>
  </mergeCells>
  <pageMargins left="1.1811023622047243" right="0.74803149606299213" top="1.3775590551181103" bottom="1.3775590551181103" header="0.98385826771653528" footer="0.98385826771653528"/>
  <pageSetup paperSize="0" fitToWidth="0" fitToHeight="0" orientation="portrait" horizontalDpi="0" verticalDpi="0" copies="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24</TotalTime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24</vt:i4>
      </vt:variant>
      <vt:variant>
        <vt:lpstr>Rangos con nombre</vt:lpstr>
      </vt:variant>
      <vt:variant>
        <vt:i4>2</vt:i4>
      </vt:variant>
    </vt:vector>
  </HeadingPairs>
  <TitlesOfParts>
    <vt:vector size="26" baseType="lpstr">
      <vt:lpstr>Índex de quadres y gràfics</vt:lpstr>
      <vt:lpstr>Q1</vt:lpstr>
      <vt:lpstr>G1</vt:lpstr>
      <vt:lpstr>Q2</vt:lpstr>
      <vt:lpstr>Q3</vt:lpstr>
      <vt:lpstr>Q4</vt:lpstr>
      <vt:lpstr>Q5</vt:lpstr>
      <vt:lpstr>Q6</vt:lpstr>
      <vt:lpstr>Q7</vt:lpstr>
      <vt:lpstr>Q8</vt:lpstr>
      <vt:lpstr>Q9</vt:lpstr>
      <vt:lpstr>Q10</vt:lpstr>
      <vt:lpstr>Q11</vt:lpstr>
      <vt:lpstr>G2</vt:lpstr>
      <vt:lpstr>Q12</vt:lpstr>
      <vt:lpstr>Q13</vt:lpstr>
      <vt:lpstr>G3</vt:lpstr>
      <vt:lpstr>Q14</vt:lpstr>
      <vt:lpstr>Q15</vt:lpstr>
      <vt:lpstr>Q16</vt:lpstr>
      <vt:lpstr>Q17</vt:lpstr>
      <vt:lpstr>QA1</vt:lpstr>
      <vt:lpstr>QA2</vt:lpstr>
      <vt:lpstr>QA3</vt:lpstr>
      <vt:lpstr>'Q10'!Área_de_impresión</vt:lpstr>
      <vt:lpstr>'Q6'!Área_de_impresión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Anna Grau Casajust</dc:creator>
  <cp:lastModifiedBy>Maria Lourdes Calero Martínez</cp:lastModifiedBy>
  <cp:revision>5</cp:revision>
  <cp:lastPrinted>2021-09-06T09:59:30Z</cp:lastPrinted>
  <dcterms:created xsi:type="dcterms:W3CDTF">2021-09-06T10:15:43Z</dcterms:created>
  <dcterms:modified xsi:type="dcterms:W3CDTF">2021-11-04T13:58:15Z</dcterms:modified>
</cp:coreProperties>
</file>