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caib.sharepoint.com/sites/ARXIUS-ENERGIA/Documents/DGECC/5. SCCATM/4. Usuaris/temporal Tomeu Canals/"/>
    </mc:Choice>
  </mc:AlternateContent>
  <xr:revisionPtr revIDLastSave="322" documentId="11_8601AD96CFE6DAE483E6E786BFD8C6C798360C12" xr6:coauthVersionLast="47" xr6:coauthVersionMax="47" xr10:uidLastSave="{C3CA798E-AEC0-41AE-8D59-93B09D15161C}"/>
  <bookViews>
    <workbookView xWindow="-120" yWindow="-120" windowWidth="29040" windowHeight="15840" tabRatio="905" xr2:uid="{00000000-000D-0000-FFFF-FFFF00000000}"/>
  </bookViews>
  <sheets>
    <sheet name="Contenido e instrucciones" sheetId="1" r:id="rId1"/>
    <sheet name="1. Datos generales del proyecto" sheetId="2" r:id="rId2"/>
    <sheet name="2.1 Absorciones árboles" sheetId="17" r:id="rId3"/>
    <sheet name="2.2 Emisiones restos corta" sheetId="12" r:id="rId4"/>
    <sheet name="2.3 Emisiones maquinaria" sheetId="13" r:id="rId5"/>
    <sheet name="2.4 Emisiones quema restos" sheetId="22" r:id="rId6"/>
    <sheet name="2.5 Emisiones productos" sheetId="21" r:id="rId7"/>
    <sheet name="3. Resultados" sheetId="9" r:id="rId8"/>
    <sheet name="Dades_PA" sheetId="19" state="hidden" r:id="rId9"/>
  </sheets>
  <definedNames>
    <definedName name="Anys">Dades_PA!$B$5:$G$5</definedName>
    <definedName name="_xlnm.Print_Area" localSheetId="7">'3. Resultados'!$B$1:$Y$52</definedName>
    <definedName name="Espècies">Dades_PA!$A$45:$A$71</definedName>
    <definedName name="Producte">Dades_PA!$A$142:$A$145</definedName>
    <definedName name="Restes">Dades_PA!$A$38:$A$40</definedName>
    <definedName name="Tractament">Dades_PA!$A$77:$A$94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O12" i="21" l="1"/>
  <c r="R12" i="21" s="1"/>
  <c r="P12" i="21"/>
  <c r="Q12" i="21"/>
  <c r="O13" i="21"/>
  <c r="R13" i="21" s="1"/>
  <c r="P13" i="21"/>
  <c r="Q13" i="21"/>
  <c r="O14" i="21"/>
  <c r="P14" i="21"/>
  <c r="Q14" i="21"/>
  <c r="R14" i="21"/>
  <c r="O15" i="21"/>
  <c r="R15" i="21" s="1"/>
  <c r="P15" i="21"/>
  <c r="Q15" i="21"/>
  <c r="O16" i="21"/>
  <c r="R16" i="21" s="1"/>
  <c r="P16" i="21"/>
  <c r="Q16" i="21"/>
  <c r="O17" i="21"/>
  <c r="R17" i="21" s="1"/>
  <c r="P17" i="21"/>
  <c r="Q17" i="21"/>
  <c r="O18" i="21"/>
  <c r="R18" i="21" s="1"/>
  <c r="P18" i="21"/>
  <c r="Q18" i="21"/>
  <c r="O19" i="21"/>
  <c r="R19" i="21" s="1"/>
  <c r="P19" i="21"/>
  <c r="Q19" i="21"/>
  <c r="O20" i="21"/>
  <c r="R20" i="21" s="1"/>
  <c r="P20" i="21"/>
  <c r="Q20" i="21"/>
  <c r="O21" i="21"/>
  <c r="R21" i="21" s="1"/>
  <c r="P21" i="21"/>
  <c r="Q21" i="21"/>
  <c r="O22" i="21"/>
  <c r="R22" i="21" s="1"/>
  <c r="P22" i="21"/>
  <c r="Q22" i="21"/>
  <c r="O23" i="21"/>
  <c r="R23" i="21" s="1"/>
  <c r="P23" i="21"/>
  <c r="Q23" i="21"/>
  <c r="O24" i="21"/>
  <c r="R24" i="21" s="1"/>
  <c r="P24" i="21"/>
  <c r="Q24" i="21"/>
  <c r="O25" i="21"/>
  <c r="R25" i="21" s="1"/>
  <c r="P25" i="21"/>
  <c r="Q25" i="21"/>
  <c r="O26" i="21"/>
  <c r="R26" i="21" s="1"/>
  <c r="P26" i="21"/>
  <c r="Q26" i="21"/>
  <c r="O27" i="21"/>
  <c r="R27" i="21" s="1"/>
  <c r="P27" i="21"/>
  <c r="Q27" i="21"/>
  <c r="O28" i="21"/>
  <c r="R28" i="21" s="1"/>
  <c r="P28" i="21"/>
  <c r="Q28" i="21"/>
  <c r="O29" i="21"/>
  <c r="R29" i="21" s="1"/>
  <c r="P29" i="21"/>
  <c r="Q29" i="21"/>
  <c r="O30" i="21"/>
  <c r="R30" i="21" s="1"/>
  <c r="P30" i="21"/>
  <c r="Q30" i="21"/>
  <c r="O31" i="21"/>
  <c r="R31" i="21" s="1"/>
  <c r="P31" i="21"/>
  <c r="Q31" i="21"/>
  <c r="O32" i="21"/>
  <c r="R32" i="21" s="1"/>
  <c r="P32" i="21"/>
  <c r="Q32" i="21"/>
  <c r="O33" i="21"/>
  <c r="R33" i="21" s="1"/>
  <c r="P33" i="21"/>
  <c r="Q33" i="21"/>
  <c r="O34" i="21"/>
  <c r="R34" i="21" s="1"/>
  <c r="P34" i="21"/>
  <c r="Q34" i="21"/>
  <c r="O35" i="21"/>
  <c r="R35" i="21" s="1"/>
  <c r="P35" i="21"/>
  <c r="Q35" i="21"/>
  <c r="O36" i="21"/>
  <c r="R36" i="21" s="1"/>
  <c r="P36" i="21"/>
  <c r="Q36" i="21"/>
  <c r="O37" i="21"/>
  <c r="R37" i="21" s="1"/>
  <c r="P37" i="21"/>
  <c r="Q37" i="21"/>
  <c r="O38" i="21"/>
  <c r="R38" i="21" s="1"/>
  <c r="P38" i="21"/>
  <c r="Q38" i="21"/>
  <c r="O39" i="21"/>
  <c r="R39" i="21" s="1"/>
  <c r="P39" i="21"/>
  <c r="Q39" i="21"/>
  <c r="O40" i="21"/>
  <c r="R40" i="21" s="1"/>
  <c r="P40" i="21"/>
  <c r="Q40" i="21"/>
  <c r="O41" i="21"/>
  <c r="R41" i="21" s="1"/>
  <c r="P41" i="21"/>
  <c r="Q41" i="21"/>
  <c r="O42" i="21"/>
  <c r="R42" i="21" s="1"/>
  <c r="P42" i="21"/>
  <c r="Q42" i="21"/>
  <c r="O43" i="21"/>
  <c r="R43" i="21" s="1"/>
  <c r="P43" i="21"/>
  <c r="Q43" i="21"/>
  <c r="O44" i="21"/>
  <c r="R44" i="21" s="1"/>
  <c r="P44" i="21"/>
  <c r="Q44" i="21"/>
  <c r="O45" i="21"/>
  <c r="R45" i="21" s="1"/>
  <c r="P45" i="21"/>
  <c r="Q45" i="21"/>
  <c r="O46" i="21"/>
  <c r="R46" i="21" s="1"/>
  <c r="P46" i="21"/>
  <c r="Q46" i="21"/>
  <c r="O47" i="21"/>
  <c r="R47" i="21" s="1"/>
  <c r="P47" i="21"/>
  <c r="Q47" i="21"/>
  <c r="O48" i="21"/>
  <c r="R48" i="21" s="1"/>
  <c r="P48" i="21"/>
  <c r="Q48" i="21"/>
  <c r="O49" i="21"/>
  <c r="R49" i="21" s="1"/>
  <c r="P49" i="21"/>
  <c r="Q49" i="21"/>
  <c r="O50" i="21"/>
  <c r="R50" i="21" s="1"/>
  <c r="P50" i="21"/>
  <c r="Q50" i="21"/>
  <c r="O51" i="21"/>
  <c r="P51" i="21"/>
  <c r="Q51" i="21"/>
  <c r="O52" i="21"/>
  <c r="R52" i="21" s="1"/>
  <c r="P52" i="21"/>
  <c r="Q52" i="21"/>
  <c r="O53" i="21"/>
  <c r="R53" i="21" s="1"/>
  <c r="P53" i="21"/>
  <c r="Q53" i="21"/>
  <c r="O54" i="21"/>
  <c r="R54" i="21" s="1"/>
  <c r="P54" i="21"/>
  <c r="Q54" i="21"/>
  <c r="O55" i="21"/>
  <c r="R55" i="21" s="1"/>
  <c r="P55" i="21"/>
  <c r="Q55" i="21"/>
  <c r="O56" i="21"/>
  <c r="R56" i="21" s="1"/>
  <c r="P56" i="21"/>
  <c r="Q56" i="21"/>
  <c r="O57" i="21"/>
  <c r="R57" i="21" s="1"/>
  <c r="P57" i="21"/>
  <c r="Q57" i="21"/>
  <c r="O58" i="21"/>
  <c r="R58" i="21" s="1"/>
  <c r="P58" i="21"/>
  <c r="Q58" i="21"/>
  <c r="O59" i="21"/>
  <c r="R59" i="21" s="1"/>
  <c r="P59" i="21"/>
  <c r="Q59" i="21"/>
  <c r="O60" i="21"/>
  <c r="R60" i="21" s="1"/>
  <c r="P60" i="21"/>
  <c r="Q60" i="21"/>
  <c r="Q11" i="21"/>
  <c r="P11" i="21"/>
  <c r="O11" i="21"/>
  <c r="G11" i="21"/>
  <c r="I55" i="22"/>
  <c r="I56" i="22"/>
  <c r="M8" i="22"/>
  <c r="M9" i="22"/>
  <c r="M10" i="22"/>
  <c r="M11" i="22"/>
  <c r="M12" i="22"/>
  <c r="M13" i="22"/>
  <c r="M14" i="22"/>
  <c r="M15" i="22"/>
  <c r="M16" i="22"/>
  <c r="M17" i="22"/>
  <c r="M18" i="22"/>
  <c r="M19" i="22"/>
  <c r="M20" i="22"/>
  <c r="M21" i="22"/>
  <c r="M22" i="22"/>
  <c r="M23" i="22"/>
  <c r="M24" i="22"/>
  <c r="M25" i="22"/>
  <c r="M26" i="22"/>
  <c r="M27" i="22"/>
  <c r="M28" i="22"/>
  <c r="M29" i="22"/>
  <c r="M30" i="22"/>
  <c r="M31" i="22"/>
  <c r="M32" i="22"/>
  <c r="M33" i="22"/>
  <c r="M34" i="22"/>
  <c r="M35" i="22"/>
  <c r="M36" i="22"/>
  <c r="M37" i="22"/>
  <c r="M38" i="22"/>
  <c r="M39" i="22"/>
  <c r="M40" i="22"/>
  <c r="M41" i="22"/>
  <c r="M42" i="22"/>
  <c r="M43" i="22"/>
  <c r="M44" i="22"/>
  <c r="M45" i="22"/>
  <c r="M46" i="22"/>
  <c r="M47" i="22"/>
  <c r="M48" i="22"/>
  <c r="M49" i="22"/>
  <c r="M50" i="22"/>
  <c r="M51" i="22"/>
  <c r="M52" i="22"/>
  <c r="M53" i="22"/>
  <c r="M54" i="22"/>
  <c r="M55" i="22"/>
  <c r="M56" i="22"/>
  <c r="K8" i="22"/>
  <c r="K9" i="22"/>
  <c r="K10" i="22"/>
  <c r="K11" i="22"/>
  <c r="K12" i="22"/>
  <c r="K13" i="22"/>
  <c r="K14" i="22"/>
  <c r="K15" i="22"/>
  <c r="K16" i="22"/>
  <c r="K17" i="22"/>
  <c r="K18" i="22"/>
  <c r="K19" i="22"/>
  <c r="K20" i="22"/>
  <c r="K21" i="22"/>
  <c r="K22" i="22"/>
  <c r="K23" i="22"/>
  <c r="K24" i="22"/>
  <c r="K25" i="22"/>
  <c r="K26" i="22"/>
  <c r="K27" i="22"/>
  <c r="K28" i="22"/>
  <c r="K29" i="22"/>
  <c r="K30" i="22"/>
  <c r="K31" i="22"/>
  <c r="K32" i="22"/>
  <c r="K33" i="22"/>
  <c r="K34" i="22"/>
  <c r="K35" i="22"/>
  <c r="K36" i="22"/>
  <c r="K37" i="22"/>
  <c r="K38" i="22"/>
  <c r="K39" i="22"/>
  <c r="K40" i="22"/>
  <c r="K41" i="22"/>
  <c r="K42" i="22"/>
  <c r="K43" i="22"/>
  <c r="K44" i="22"/>
  <c r="K45" i="22"/>
  <c r="K46" i="22"/>
  <c r="K47" i="22"/>
  <c r="K48" i="22"/>
  <c r="K49" i="22"/>
  <c r="K50" i="22"/>
  <c r="K51" i="22"/>
  <c r="K52" i="22"/>
  <c r="K53" i="22"/>
  <c r="K54" i="22"/>
  <c r="K55" i="22"/>
  <c r="K56" i="22"/>
  <c r="I8" i="22"/>
  <c r="I9" i="22"/>
  <c r="I10" i="22"/>
  <c r="I11" i="22"/>
  <c r="I12" i="22"/>
  <c r="I13" i="22"/>
  <c r="I14" i="22"/>
  <c r="I15" i="22"/>
  <c r="I16" i="22"/>
  <c r="I17" i="22"/>
  <c r="I18" i="22"/>
  <c r="I19" i="22"/>
  <c r="I20" i="22"/>
  <c r="I21" i="22"/>
  <c r="I22" i="22"/>
  <c r="I23" i="22"/>
  <c r="I24" i="22"/>
  <c r="I25" i="22"/>
  <c r="I26" i="22"/>
  <c r="I27" i="22"/>
  <c r="I28" i="22"/>
  <c r="I29" i="22"/>
  <c r="I30" i="22"/>
  <c r="I31" i="22"/>
  <c r="I32" i="22"/>
  <c r="I33" i="22"/>
  <c r="I34" i="22"/>
  <c r="I35" i="22"/>
  <c r="I36" i="22"/>
  <c r="I37" i="22"/>
  <c r="I38" i="22"/>
  <c r="I39" i="22"/>
  <c r="I40" i="22"/>
  <c r="I41" i="22"/>
  <c r="I42" i="22"/>
  <c r="I43" i="22"/>
  <c r="I44" i="22"/>
  <c r="I45" i="22"/>
  <c r="I46" i="22"/>
  <c r="I47" i="22"/>
  <c r="I48" i="22"/>
  <c r="I49" i="22"/>
  <c r="I50" i="22"/>
  <c r="I51" i="22"/>
  <c r="I52" i="22"/>
  <c r="I53" i="22"/>
  <c r="I54" i="22"/>
  <c r="M7" i="22"/>
  <c r="K7" i="22"/>
  <c r="I7" i="22"/>
  <c r="H26" i="12"/>
  <c r="U17" i="12"/>
  <c r="U18" i="12"/>
  <c r="U19" i="12"/>
  <c r="U20" i="12"/>
  <c r="U21" i="12"/>
  <c r="U22" i="12"/>
  <c r="U23" i="12"/>
  <c r="U24" i="12"/>
  <c r="U25" i="12"/>
  <c r="U26" i="12"/>
  <c r="U27" i="12"/>
  <c r="U28" i="12"/>
  <c r="U29" i="12"/>
  <c r="U30" i="12"/>
  <c r="U31" i="12"/>
  <c r="U32" i="12"/>
  <c r="U33" i="12"/>
  <c r="U34" i="12"/>
  <c r="U35" i="12"/>
  <c r="U36" i="12"/>
  <c r="U37" i="12"/>
  <c r="U38" i="12"/>
  <c r="U39" i="12"/>
  <c r="U40" i="12"/>
  <c r="U41" i="12"/>
  <c r="U42" i="12"/>
  <c r="U43" i="12"/>
  <c r="U44" i="12"/>
  <c r="U45" i="12"/>
  <c r="U47" i="12"/>
  <c r="U48" i="12"/>
  <c r="U49" i="12"/>
  <c r="U50" i="12"/>
  <c r="U51" i="12"/>
  <c r="U52" i="12"/>
  <c r="U53" i="12"/>
  <c r="U54" i="12"/>
  <c r="U55" i="12"/>
  <c r="U57" i="12"/>
  <c r="U58" i="12"/>
  <c r="U59" i="12"/>
  <c r="U60" i="12"/>
  <c r="U61" i="12"/>
  <c r="U62" i="12"/>
  <c r="U63" i="12"/>
  <c r="U64" i="12"/>
  <c r="U65" i="12"/>
  <c r="T17" i="12"/>
  <c r="T18" i="12"/>
  <c r="T19" i="12"/>
  <c r="T20" i="12"/>
  <c r="T21" i="12"/>
  <c r="T22" i="12"/>
  <c r="T23" i="12"/>
  <c r="T24" i="12"/>
  <c r="T25" i="12"/>
  <c r="T26" i="12"/>
  <c r="T27" i="12"/>
  <c r="T28" i="12"/>
  <c r="T29" i="12"/>
  <c r="T30" i="12"/>
  <c r="T31" i="12"/>
  <c r="T32" i="12"/>
  <c r="T33" i="12"/>
  <c r="T34" i="12"/>
  <c r="T35" i="12"/>
  <c r="T36" i="12"/>
  <c r="T37" i="12"/>
  <c r="T38" i="12"/>
  <c r="T39" i="12"/>
  <c r="T40" i="12"/>
  <c r="T41" i="12"/>
  <c r="T42" i="12"/>
  <c r="T43" i="12"/>
  <c r="T44" i="12"/>
  <c r="T45" i="12"/>
  <c r="T46" i="12"/>
  <c r="T47" i="12"/>
  <c r="T48" i="12"/>
  <c r="T49" i="12"/>
  <c r="T50" i="12"/>
  <c r="T51" i="12"/>
  <c r="T52" i="12"/>
  <c r="T53" i="12"/>
  <c r="T54" i="12"/>
  <c r="T55" i="12"/>
  <c r="T56" i="12"/>
  <c r="T57" i="12"/>
  <c r="T58" i="12"/>
  <c r="T59" i="12"/>
  <c r="T60" i="12"/>
  <c r="T61" i="12"/>
  <c r="T62" i="12"/>
  <c r="T63" i="12"/>
  <c r="T64" i="12"/>
  <c r="T65" i="12"/>
  <c r="S17" i="12"/>
  <c r="S18" i="12"/>
  <c r="S19" i="12"/>
  <c r="S20" i="12"/>
  <c r="S21" i="12"/>
  <c r="S22" i="12"/>
  <c r="S23" i="12"/>
  <c r="S24" i="12"/>
  <c r="S25" i="12"/>
  <c r="S27" i="12"/>
  <c r="S28" i="12"/>
  <c r="S29" i="12"/>
  <c r="S30" i="12"/>
  <c r="S31" i="12"/>
  <c r="S32" i="12"/>
  <c r="S33" i="12"/>
  <c r="S34" i="12"/>
  <c r="S35" i="12"/>
  <c r="S37" i="12"/>
  <c r="S38" i="12"/>
  <c r="S39" i="12"/>
  <c r="S40" i="12"/>
  <c r="S41" i="12"/>
  <c r="S42" i="12"/>
  <c r="S43" i="12"/>
  <c r="S44" i="12"/>
  <c r="S45" i="12"/>
  <c r="S47" i="12"/>
  <c r="S48" i="12"/>
  <c r="S49" i="12"/>
  <c r="S50" i="12"/>
  <c r="S51" i="12"/>
  <c r="S52" i="12"/>
  <c r="S53" i="12"/>
  <c r="S54" i="12"/>
  <c r="S55" i="12"/>
  <c r="S57" i="12"/>
  <c r="S58" i="12"/>
  <c r="S59" i="12"/>
  <c r="S60" i="12"/>
  <c r="S61" i="12"/>
  <c r="S62" i="12"/>
  <c r="S63" i="12"/>
  <c r="S64" i="12"/>
  <c r="S65" i="12"/>
  <c r="R51" i="21" l="1"/>
  <c r="E85" i="19" l="1"/>
  <c r="H5" i="9" l="1"/>
  <c r="F17" i="12"/>
  <c r="F18" i="12"/>
  <c r="F19" i="12"/>
  <c r="F20" i="12"/>
  <c r="F21" i="12"/>
  <c r="F22" i="12"/>
  <c r="F23" i="12"/>
  <c r="F24" i="12"/>
  <c r="F25" i="12"/>
  <c r="F16" i="12"/>
  <c r="J48" i="17"/>
  <c r="J49" i="17"/>
  <c r="J50" i="17"/>
  <c r="J51" i="17"/>
  <c r="J52" i="17"/>
  <c r="J53" i="17"/>
  <c r="J54" i="17"/>
  <c r="J55" i="17"/>
  <c r="J56" i="17"/>
  <c r="J47" i="17"/>
  <c r="J38" i="17"/>
  <c r="J39" i="17"/>
  <c r="J40" i="17"/>
  <c r="J41" i="17"/>
  <c r="J42" i="17"/>
  <c r="J43" i="17"/>
  <c r="J44" i="17"/>
  <c r="J45" i="17"/>
  <c r="J46" i="17"/>
  <c r="J37" i="17"/>
  <c r="J28" i="17"/>
  <c r="J29" i="17"/>
  <c r="J30" i="17"/>
  <c r="J31" i="17"/>
  <c r="J32" i="17"/>
  <c r="J33" i="17"/>
  <c r="J34" i="17"/>
  <c r="J35" i="17"/>
  <c r="J36" i="17"/>
  <c r="J27" i="17"/>
  <c r="J18" i="17"/>
  <c r="J19" i="17"/>
  <c r="J20" i="17"/>
  <c r="J21" i="17"/>
  <c r="J22" i="17"/>
  <c r="J23" i="17"/>
  <c r="J24" i="17"/>
  <c r="J25" i="17"/>
  <c r="J26" i="17"/>
  <c r="J17" i="17"/>
  <c r="J16" i="17"/>
  <c r="J8" i="17"/>
  <c r="J9" i="17"/>
  <c r="J10" i="17"/>
  <c r="J11" i="17"/>
  <c r="J12" i="17"/>
  <c r="J13" i="17"/>
  <c r="J14" i="17"/>
  <c r="J15" i="17"/>
  <c r="J7" i="17"/>
  <c r="I57" i="17"/>
  <c r="O9" i="9" s="1"/>
  <c r="H36" i="2"/>
  <c r="E51" i="21"/>
  <c r="E41" i="21"/>
  <c r="E31" i="21"/>
  <c r="E21" i="21"/>
  <c r="E11" i="21"/>
  <c r="E47" i="22"/>
  <c r="E37" i="22"/>
  <c r="E27" i="22"/>
  <c r="E17" i="22"/>
  <c r="E7" i="22"/>
  <c r="E50" i="13"/>
  <c r="E40" i="13"/>
  <c r="E29" i="13"/>
  <c r="E19" i="13"/>
  <c r="E9" i="13"/>
  <c r="E56" i="12"/>
  <c r="E46" i="12"/>
  <c r="E36" i="12"/>
  <c r="E26" i="12"/>
  <c r="E16" i="12"/>
  <c r="D47" i="17"/>
  <c r="D37" i="17"/>
  <c r="D27" i="17"/>
  <c r="D17" i="17"/>
  <c r="D7" i="17"/>
  <c r="F47" i="17"/>
  <c r="G47" i="17" s="1"/>
  <c r="L35" i="2" s="1"/>
  <c r="F37" i="17"/>
  <c r="G37" i="17" s="1"/>
  <c r="L34" i="2" s="1"/>
  <c r="F27" i="17"/>
  <c r="G27" i="17" s="1"/>
  <c r="L33" i="2" s="1"/>
  <c r="F17" i="17"/>
  <c r="G17" i="17" s="1"/>
  <c r="L32" i="2" s="1"/>
  <c r="F7" i="17"/>
  <c r="G7" i="17" s="1"/>
  <c r="L31" i="2" s="1"/>
  <c r="T9" i="9" l="1"/>
  <c r="H12" i="21"/>
  <c r="H13" i="21"/>
  <c r="H14" i="21"/>
  <c r="H15" i="21"/>
  <c r="H16" i="21"/>
  <c r="H17" i="21"/>
  <c r="H18" i="21"/>
  <c r="H19" i="21"/>
  <c r="H20" i="21"/>
  <c r="H21" i="21"/>
  <c r="H22" i="21"/>
  <c r="H23" i="21"/>
  <c r="H24" i="21"/>
  <c r="H25" i="21"/>
  <c r="H26" i="21"/>
  <c r="H27" i="21"/>
  <c r="H28" i="21"/>
  <c r="H29" i="21"/>
  <c r="H30" i="21"/>
  <c r="H31" i="21"/>
  <c r="H32" i="21"/>
  <c r="H33" i="21"/>
  <c r="H34" i="21"/>
  <c r="H35" i="21"/>
  <c r="H36" i="21"/>
  <c r="H37" i="21"/>
  <c r="H38" i="21"/>
  <c r="H39" i="21"/>
  <c r="H40" i="21"/>
  <c r="H41" i="21"/>
  <c r="H42" i="21"/>
  <c r="H43" i="21"/>
  <c r="H44" i="21"/>
  <c r="H45" i="21"/>
  <c r="H46" i="21"/>
  <c r="H47" i="21"/>
  <c r="H48" i="21"/>
  <c r="H49" i="21"/>
  <c r="H50" i="21"/>
  <c r="H51" i="21"/>
  <c r="H52" i="21"/>
  <c r="H53" i="21"/>
  <c r="H54" i="21"/>
  <c r="H55" i="21"/>
  <c r="H56" i="21"/>
  <c r="H57" i="21"/>
  <c r="H58" i="21"/>
  <c r="H59" i="21"/>
  <c r="H60" i="21"/>
  <c r="H11" i="21"/>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7" i="22"/>
  <c r="J11" i="13"/>
  <c r="K11" i="13"/>
  <c r="J12" i="13"/>
  <c r="K12" i="13"/>
  <c r="J13" i="13"/>
  <c r="K13" i="13"/>
  <c r="J14" i="13"/>
  <c r="K14" i="13"/>
  <c r="J15" i="13"/>
  <c r="K15" i="13"/>
  <c r="J16" i="13"/>
  <c r="K16" i="13"/>
  <c r="J17" i="13"/>
  <c r="K17" i="13"/>
  <c r="J18" i="13"/>
  <c r="K18" i="13"/>
  <c r="J20" i="13"/>
  <c r="K20" i="13"/>
  <c r="J21" i="13"/>
  <c r="K21" i="13"/>
  <c r="J22" i="13"/>
  <c r="K22" i="13"/>
  <c r="J23" i="13"/>
  <c r="K23" i="13"/>
  <c r="J24" i="13"/>
  <c r="K24" i="13"/>
  <c r="J25" i="13"/>
  <c r="K25" i="13"/>
  <c r="J26" i="13"/>
  <c r="K26" i="13"/>
  <c r="J27" i="13"/>
  <c r="K27" i="13"/>
  <c r="J28" i="13"/>
  <c r="K28" i="13"/>
  <c r="J30" i="13"/>
  <c r="K30" i="13"/>
  <c r="J31" i="13"/>
  <c r="K31" i="13"/>
  <c r="J32" i="13"/>
  <c r="K32" i="13"/>
  <c r="J33" i="13"/>
  <c r="K33" i="13"/>
  <c r="J34" i="13"/>
  <c r="K34" i="13"/>
  <c r="J35" i="13"/>
  <c r="K35" i="13"/>
  <c r="J36" i="13"/>
  <c r="K36" i="13"/>
  <c r="J37" i="13"/>
  <c r="K37" i="13"/>
  <c r="J38" i="13"/>
  <c r="K38" i="13"/>
  <c r="J39" i="13"/>
  <c r="K39" i="13"/>
  <c r="J41" i="13"/>
  <c r="K41" i="13"/>
  <c r="J42" i="13"/>
  <c r="K42" i="13"/>
  <c r="J43" i="13"/>
  <c r="K43" i="13"/>
  <c r="J44" i="13"/>
  <c r="K44" i="13"/>
  <c r="J45" i="13"/>
  <c r="K45" i="13"/>
  <c r="J46" i="13"/>
  <c r="K46" i="13"/>
  <c r="J47" i="13"/>
  <c r="K47" i="13"/>
  <c r="J48" i="13"/>
  <c r="K48" i="13"/>
  <c r="J49" i="13"/>
  <c r="K49" i="13"/>
  <c r="J51" i="13"/>
  <c r="K51" i="13"/>
  <c r="J52" i="13"/>
  <c r="K52" i="13"/>
  <c r="J53" i="13"/>
  <c r="K53" i="13"/>
  <c r="J54" i="13"/>
  <c r="K54" i="13"/>
  <c r="J55" i="13"/>
  <c r="K55" i="13"/>
  <c r="J56" i="13"/>
  <c r="K56" i="13"/>
  <c r="J57" i="13"/>
  <c r="K57" i="13"/>
  <c r="J58" i="13"/>
  <c r="K58" i="13"/>
  <c r="J59" i="13"/>
  <c r="K59" i="13"/>
  <c r="I66" i="12"/>
  <c r="H9" i="9"/>
  <c r="T7" i="9"/>
  <c r="O7" i="9"/>
  <c r="H7" i="9"/>
  <c r="T5" i="9"/>
  <c r="H3" i="9"/>
  <c r="H83" i="19" l="1"/>
  <c r="E83" i="19" s="1"/>
  <c r="E86" i="19"/>
  <c r="E87" i="19"/>
  <c r="E88" i="19"/>
  <c r="E89" i="19"/>
  <c r="E90" i="19"/>
  <c r="E91" i="19"/>
  <c r="E92" i="19"/>
  <c r="E93" i="19"/>
  <c r="E94" i="19"/>
  <c r="E84" i="19"/>
  <c r="H78" i="19" s="1"/>
  <c r="F56" i="22"/>
  <c r="F55" i="22"/>
  <c r="F54" i="22"/>
  <c r="F53" i="22"/>
  <c r="F52" i="22"/>
  <c r="F51" i="22"/>
  <c r="F50" i="22"/>
  <c r="F49" i="22"/>
  <c r="F48" i="22"/>
  <c r="G47" i="22"/>
  <c r="F47" i="22"/>
  <c r="F46" i="22"/>
  <c r="F45" i="22"/>
  <c r="F44" i="22"/>
  <c r="F43" i="22"/>
  <c r="F42" i="22"/>
  <c r="F41" i="22"/>
  <c r="F40" i="22"/>
  <c r="F39" i="22"/>
  <c r="F38" i="22"/>
  <c r="G37" i="22"/>
  <c r="F37" i="22"/>
  <c r="F36" i="22"/>
  <c r="F35" i="22"/>
  <c r="F34" i="22"/>
  <c r="F33" i="22"/>
  <c r="F32" i="22"/>
  <c r="F31" i="22"/>
  <c r="F30" i="22"/>
  <c r="F29" i="22"/>
  <c r="F28" i="22"/>
  <c r="G27" i="22"/>
  <c r="F27" i="22"/>
  <c r="F26" i="22"/>
  <c r="F25" i="22"/>
  <c r="F24" i="22"/>
  <c r="F23" i="22"/>
  <c r="F22" i="22"/>
  <c r="F21" i="22"/>
  <c r="F20" i="22"/>
  <c r="F19" i="22"/>
  <c r="F18" i="22"/>
  <c r="G17" i="22"/>
  <c r="F17" i="22"/>
  <c r="F16" i="22"/>
  <c r="F15" i="22"/>
  <c r="F14" i="22"/>
  <c r="F13" i="22"/>
  <c r="F12" i="22"/>
  <c r="F11" i="22"/>
  <c r="F10" i="22"/>
  <c r="F9" i="22"/>
  <c r="F8" i="22"/>
  <c r="G7" i="22"/>
  <c r="F7" i="22"/>
  <c r="I11" i="13"/>
  <c r="L11" i="13" s="1"/>
  <c r="I12" i="13"/>
  <c r="L12" i="13" s="1"/>
  <c r="I13" i="13"/>
  <c r="L13" i="13" s="1"/>
  <c r="I14" i="13"/>
  <c r="L14" i="13" s="1"/>
  <c r="I15" i="13"/>
  <c r="L15" i="13" s="1"/>
  <c r="I16" i="13"/>
  <c r="L16" i="13" s="1"/>
  <c r="I17" i="13"/>
  <c r="L17" i="13" s="1"/>
  <c r="I18" i="13"/>
  <c r="L18" i="13" s="1"/>
  <c r="I20" i="13"/>
  <c r="L20" i="13" s="1"/>
  <c r="I21" i="13"/>
  <c r="L21" i="13" s="1"/>
  <c r="I22" i="13"/>
  <c r="L22" i="13" s="1"/>
  <c r="I23" i="13"/>
  <c r="L23" i="13" s="1"/>
  <c r="I24" i="13"/>
  <c r="L24" i="13" s="1"/>
  <c r="I25" i="13"/>
  <c r="L25" i="13" s="1"/>
  <c r="I26" i="13"/>
  <c r="L26" i="13" s="1"/>
  <c r="I27" i="13"/>
  <c r="L27" i="13" s="1"/>
  <c r="I28" i="13"/>
  <c r="L28" i="13" s="1"/>
  <c r="I30" i="13"/>
  <c r="L30" i="13" s="1"/>
  <c r="I31" i="13"/>
  <c r="L31" i="13" s="1"/>
  <c r="I32" i="13"/>
  <c r="L32" i="13" s="1"/>
  <c r="I33" i="13"/>
  <c r="L33" i="13" s="1"/>
  <c r="I34" i="13"/>
  <c r="L34" i="13" s="1"/>
  <c r="I35" i="13"/>
  <c r="L35" i="13" s="1"/>
  <c r="I36" i="13"/>
  <c r="L36" i="13" s="1"/>
  <c r="I37" i="13"/>
  <c r="L37" i="13" s="1"/>
  <c r="I38" i="13"/>
  <c r="L38" i="13" s="1"/>
  <c r="I39" i="13"/>
  <c r="L39" i="13" s="1"/>
  <c r="I41" i="13"/>
  <c r="L41" i="13" s="1"/>
  <c r="I42" i="13"/>
  <c r="L42" i="13" s="1"/>
  <c r="I43" i="13"/>
  <c r="L43" i="13" s="1"/>
  <c r="I44" i="13"/>
  <c r="L44" i="13" s="1"/>
  <c r="I45" i="13"/>
  <c r="L45" i="13" s="1"/>
  <c r="I46" i="13"/>
  <c r="L46" i="13" s="1"/>
  <c r="I47" i="13"/>
  <c r="L47" i="13" s="1"/>
  <c r="I48" i="13"/>
  <c r="L48" i="13" s="1"/>
  <c r="I49" i="13"/>
  <c r="L49" i="13" s="1"/>
  <c r="I51" i="13"/>
  <c r="L51" i="13" s="1"/>
  <c r="I52" i="13"/>
  <c r="L52" i="13" s="1"/>
  <c r="I53" i="13"/>
  <c r="L53" i="13" s="1"/>
  <c r="I54" i="13"/>
  <c r="L54" i="13" s="1"/>
  <c r="I55" i="13"/>
  <c r="L55" i="13" s="1"/>
  <c r="I56" i="13"/>
  <c r="L56" i="13" s="1"/>
  <c r="I57" i="13"/>
  <c r="L57" i="13" s="1"/>
  <c r="I58" i="13"/>
  <c r="L58" i="13" s="1"/>
  <c r="I59" i="13"/>
  <c r="L59" i="13" s="1"/>
  <c r="H9" i="13"/>
  <c r="H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82" i="19"/>
  <c r="C82" i="19" s="1"/>
  <c r="B82" i="19"/>
  <c r="D82" i="19"/>
  <c r="B83" i="19"/>
  <c r="C83" i="19"/>
  <c r="D83" i="19"/>
  <c r="I77" i="19"/>
  <c r="B77" i="19" s="1"/>
  <c r="I29" i="13" s="1"/>
  <c r="I80" i="19"/>
  <c r="I79" i="19"/>
  <c r="I78" i="19"/>
  <c r="T53" i="22" l="1"/>
  <c r="S53" i="22"/>
  <c r="T54" i="22"/>
  <c r="S54" i="22"/>
  <c r="T55" i="22"/>
  <c r="S55" i="22"/>
  <c r="T56" i="22"/>
  <c r="S56" i="22"/>
  <c r="R53" i="22"/>
  <c r="Q53" i="22"/>
  <c r="R54" i="22"/>
  <c r="Q54" i="22"/>
  <c r="R55" i="22"/>
  <c r="Q55" i="22"/>
  <c r="R56" i="22"/>
  <c r="Q56" i="22"/>
  <c r="P53" i="22"/>
  <c r="O53" i="22"/>
  <c r="P54" i="22"/>
  <c r="O54" i="22"/>
  <c r="P55" i="22"/>
  <c r="O55" i="22"/>
  <c r="P56" i="22"/>
  <c r="O56" i="22"/>
  <c r="P19" i="22"/>
  <c r="O19" i="22"/>
  <c r="T18" i="22"/>
  <c r="S18" i="22"/>
  <c r="R18" i="22"/>
  <c r="Q18" i="22"/>
  <c r="R21" i="22"/>
  <c r="Q21" i="22"/>
  <c r="R24" i="22"/>
  <c r="Q24" i="22"/>
  <c r="P30" i="22"/>
  <c r="O30" i="22"/>
  <c r="P33" i="22"/>
  <c r="O33" i="22"/>
  <c r="O36" i="22"/>
  <c r="P36" i="22"/>
  <c r="T50" i="22"/>
  <c r="S50" i="22"/>
  <c r="P18" i="22"/>
  <c r="O18" i="22"/>
  <c r="P21" i="22"/>
  <c r="O21" i="22"/>
  <c r="P24" i="22"/>
  <c r="O24" i="22"/>
  <c r="T38" i="22"/>
  <c r="S38" i="22"/>
  <c r="T41" i="22"/>
  <c r="S41" i="22"/>
  <c r="T44" i="22"/>
  <c r="S44" i="22"/>
  <c r="R50" i="22"/>
  <c r="Q50" i="22"/>
  <c r="R38" i="22"/>
  <c r="Q38" i="22"/>
  <c r="R41" i="22"/>
  <c r="Q41" i="22"/>
  <c r="R44" i="22"/>
  <c r="Q44" i="22"/>
  <c r="O50" i="22"/>
  <c r="P50" i="22"/>
  <c r="T20" i="22"/>
  <c r="S20" i="22"/>
  <c r="T23" i="22"/>
  <c r="S23" i="22"/>
  <c r="T26" i="22"/>
  <c r="S26" i="22"/>
  <c r="R29" i="22"/>
  <c r="Q29" i="22"/>
  <c r="R32" i="22"/>
  <c r="Q32" i="22"/>
  <c r="R35" i="22"/>
  <c r="Q35" i="22"/>
  <c r="P38" i="22"/>
  <c r="O38" i="22"/>
  <c r="P41" i="22"/>
  <c r="O41" i="22"/>
  <c r="P44" i="22"/>
  <c r="O44" i="22"/>
  <c r="S32" i="22"/>
  <c r="T32" i="22"/>
  <c r="R20" i="22"/>
  <c r="Q20" i="22"/>
  <c r="R23" i="22"/>
  <c r="Q23" i="22"/>
  <c r="R26" i="22"/>
  <c r="Q26" i="22"/>
  <c r="P29" i="22"/>
  <c r="O29" i="22"/>
  <c r="P32" i="22"/>
  <c r="O32" i="22"/>
  <c r="P35" i="22"/>
  <c r="O35" i="22"/>
  <c r="T52" i="22"/>
  <c r="S52" i="22"/>
  <c r="P20" i="22"/>
  <c r="O20" i="22"/>
  <c r="P23" i="22"/>
  <c r="O23" i="22"/>
  <c r="P26" i="22"/>
  <c r="O26" i="22"/>
  <c r="T40" i="22"/>
  <c r="S40" i="22"/>
  <c r="T43" i="22"/>
  <c r="S43" i="22"/>
  <c r="T46" i="22"/>
  <c r="S46" i="22"/>
  <c r="R49" i="22"/>
  <c r="Q49" i="22"/>
  <c r="R52" i="22"/>
  <c r="Q52" i="22"/>
  <c r="T28" i="22"/>
  <c r="S28" i="22"/>
  <c r="T31" i="22"/>
  <c r="S31" i="22"/>
  <c r="T34" i="22"/>
  <c r="S34" i="22"/>
  <c r="R40" i="22"/>
  <c r="Q40" i="22"/>
  <c r="R43" i="22"/>
  <c r="Q43" i="22"/>
  <c r="R46" i="22"/>
  <c r="Q46" i="22"/>
  <c r="P49" i="22"/>
  <c r="O49" i="22"/>
  <c r="O52" i="22"/>
  <c r="P52" i="22"/>
  <c r="T35" i="22"/>
  <c r="S35" i="22"/>
  <c r="S19" i="22"/>
  <c r="T19" i="22"/>
  <c r="T22" i="22"/>
  <c r="S22" i="22"/>
  <c r="T25" i="22"/>
  <c r="S25" i="22"/>
  <c r="R28" i="22"/>
  <c r="Q28" i="22"/>
  <c r="R31" i="22"/>
  <c r="Q31" i="22"/>
  <c r="R34" i="22"/>
  <c r="Q34" i="22"/>
  <c r="P40" i="22"/>
  <c r="O40" i="22"/>
  <c r="P43" i="22"/>
  <c r="O43" i="22"/>
  <c r="P46" i="22"/>
  <c r="O46" i="22"/>
  <c r="T29" i="22"/>
  <c r="S29" i="22"/>
  <c r="R19" i="22"/>
  <c r="Q19" i="22"/>
  <c r="R22" i="22"/>
  <c r="Q22" i="22"/>
  <c r="R25" i="22"/>
  <c r="Q25" i="22"/>
  <c r="P28" i="22"/>
  <c r="O28" i="22"/>
  <c r="P31" i="22"/>
  <c r="O31" i="22"/>
  <c r="P34" i="22"/>
  <c r="O34" i="22"/>
  <c r="T48" i="22"/>
  <c r="S48" i="22"/>
  <c r="T51" i="22"/>
  <c r="S51" i="22"/>
  <c r="O25" i="22"/>
  <c r="P25" i="22"/>
  <c r="T39" i="22"/>
  <c r="S39" i="22"/>
  <c r="T42" i="22"/>
  <c r="S42" i="22"/>
  <c r="S45" i="22"/>
  <c r="T45" i="22"/>
  <c r="R48" i="22"/>
  <c r="Q48" i="22"/>
  <c r="R51" i="22"/>
  <c r="Q51" i="22"/>
  <c r="P22" i="22"/>
  <c r="O22" i="22"/>
  <c r="T30" i="22"/>
  <c r="S30" i="22"/>
  <c r="T33" i="22"/>
  <c r="S33" i="22"/>
  <c r="T36" i="22"/>
  <c r="S36" i="22"/>
  <c r="R39" i="22"/>
  <c r="Q39" i="22"/>
  <c r="R42" i="22"/>
  <c r="Q42" i="22"/>
  <c r="R45" i="22"/>
  <c r="Q45" i="22"/>
  <c r="P48" i="22"/>
  <c r="O48" i="22"/>
  <c r="O51" i="22"/>
  <c r="P51" i="22"/>
  <c r="T21" i="22"/>
  <c r="S21" i="22"/>
  <c r="T24" i="22"/>
  <c r="S24" i="22"/>
  <c r="R30" i="22"/>
  <c r="Q30" i="22"/>
  <c r="R33" i="22"/>
  <c r="Q33" i="22"/>
  <c r="R36" i="22"/>
  <c r="Q36" i="22"/>
  <c r="P39" i="22"/>
  <c r="O39" i="22"/>
  <c r="P42" i="22"/>
  <c r="O42" i="22"/>
  <c r="P45" i="22"/>
  <c r="O45" i="22"/>
  <c r="I10" i="13"/>
  <c r="I50" i="13"/>
  <c r="I40" i="13"/>
  <c r="I9" i="13"/>
  <c r="T49" i="22"/>
  <c r="S49" i="22"/>
  <c r="T37" i="22"/>
  <c r="S37" i="22"/>
  <c r="Q37" i="22"/>
  <c r="R37" i="22"/>
  <c r="S27" i="22"/>
  <c r="T27" i="22"/>
  <c r="Q27" i="22"/>
  <c r="R27" i="22"/>
  <c r="P27" i="22"/>
  <c r="O27" i="22"/>
  <c r="L47" i="22"/>
  <c r="R47" i="22" s="1"/>
  <c r="G48" i="22"/>
  <c r="J48" i="22" s="1"/>
  <c r="G56" i="22"/>
  <c r="L56" i="22" s="1"/>
  <c r="G55" i="22"/>
  <c r="N55" i="22" s="1"/>
  <c r="G54" i="22"/>
  <c r="N54" i="22" s="1"/>
  <c r="G51" i="22"/>
  <c r="N51" i="22" s="1"/>
  <c r="G50" i="22"/>
  <c r="J50" i="22" s="1"/>
  <c r="G53" i="22"/>
  <c r="J53" i="22" s="1"/>
  <c r="G52" i="22"/>
  <c r="J52" i="22" s="1"/>
  <c r="G49" i="22"/>
  <c r="N49" i="22" s="1"/>
  <c r="J37" i="22"/>
  <c r="P37" i="22" s="1"/>
  <c r="G38" i="22"/>
  <c r="J38" i="22" s="1"/>
  <c r="G45" i="22"/>
  <c r="L45" i="22" s="1"/>
  <c r="G43" i="22"/>
  <c r="N43" i="22" s="1"/>
  <c r="G42" i="22"/>
  <c r="J42" i="22" s="1"/>
  <c r="G41" i="22"/>
  <c r="J41" i="22" s="1"/>
  <c r="G40" i="22"/>
  <c r="N40" i="22" s="1"/>
  <c r="G39" i="22"/>
  <c r="J39" i="22" s="1"/>
  <c r="G44" i="22"/>
  <c r="N44" i="22" s="1"/>
  <c r="G46" i="22"/>
  <c r="L46" i="22" s="1"/>
  <c r="J27" i="22"/>
  <c r="G31" i="22"/>
  <c r="J31" i="22" s="1"/>
  <c r="G30" i="22"/>
  <c r="L30" i="22" s="1"/>
  <c r="G29" i="22"/>
  <c r="N29" i="22" s="1"/>
  <c r="G28" i="22"/>
  <c r="J28" i="22" s="1"/>
  <c r="G35" i="22"/>
  <c r="N35" i="22" s="1"/>
  <c r="G36" i="22"/>
  <c r="J36" i="22" s="1"/>
  <c r="G34" i="22"/>
  <c r="L34" i="22" s="1"/>
  <c r="G33" i="22"/>
  <c r="N33" i="22" s="1"/>
  <c r="G32" i="22"/>
  <c r="N32" i="22" s="1"/>
  <c r="T13" i="22"/>
  <c r="S13" i="22"/>
  <c r="T16" i="22"/>
  <c r="S16" i="22"/>
  <c r="T14" i="22"/>
  <c r="S14" i="22"/>
  <c r="R13" i="22"/>
  <c r="Q13" i="22"/>
  <c r="Q16" i="22"/>
  <c r="R16" i="22"/>
  <c r="T12" i="22"/>
  <c r="S12" i="22"/>
  <c r="P16" i="22"/>
  <c r="O16" i="22"/>
  <c r="T15" i="22"/>
  <c r="S15" i="22"/>
  <c r="O13" i="22"/>
  <c r="P13" i="22"/>
  <c r="Q12" i="22"/>
  <c r="R12" i="22"/>
  <c r="R15" i="22"/>
  <c r="Q15" i="22"/>
  <c r="P12" i="22"/>
  <c r="O12" i="22"/>
  <c r="P15" i="22"/>
  <c r="O15" i="22"/>
  <c r="R14" i="22"/>
  <c r="Q14" i="22"/>
  <c r="P14" i="22"/>
  <c r="O14" i="22"/>
  <c r="J17" i="22"/>
  <c r="G18" i="22"/>
  <c r="J18" i="22" s="1"/>
  <c r="G25" i="22"/>
  <c r="J25" i="22" s="1"/>
  <c r="G24" i="22"/>
  <c r="J24" i="22" s="1"/>
  <c r="G23" i="22"/>
  <c r="L23" i="22" s="1"/>
  <c r="G22" i="22"/>
  <c r="N22" i="22" s="1"/>
  <c r="G21" i="22"/>
  <c r="N21" i="22" s="1"/>
  <c r="G20" i="22"/>
  <c r="L20" i="22" s="1"/>
  <c r="G19" i="22"/>
  <c r="L19" i="22" s="1"/>
  <c r="G26" i="22"/>
  <c r="J26" i="22" s="1"/>
  <c r="J7" i="22"/>
  <c r="G11" i="22"/>
  <c r="J11" i="22" s="1"/>
  <c r="G10" i="22"/>
  <c r="N10" i="22" s="1"/>
  <c r="G16" i="22"/>
  <c r="J16" i="22" s="1"/>
  <c r="G15" i="22"/>
  <c r="L15" i="22" s="1"/>
  <c r="G8" i="22"/>
  <c r="J8" i="22" s="1"/>
  <c r="G14" i="22"/>
  <c r="J14" i="22" s="1"/>
  <c r="G13" i="22"/>
  <c r="N13" i="22" s="1"/>
  <c r="G12" i="22"/>
  <c r="L12" i="22" s="1"/>
  <c r="G9" i="22"/>
  <c r="J9" i="22" s="1"/>
  <c r="T9" i="22"/>
  <c r="S9" i="22"/>
  <c r="R10" i="22"/>
  <c r="Q10" i="22"/>
  <c r="T17" i="22"/>
  <c r="S17" i="22"/>
  <c r="R17" i="22"/>
  <c r="Q17" i="22"/>
  <c r="P17" i="22"/>
  <c r="O17" i="22"/>
  <c r="T10" i="22"/>
  <c r="S10" i="22"/>
  <c r="R9" i="22"/>
  <c r="Q9" i="22"/>
  <c r="O9" i="22"/>
  <c r="P9" i="22"/>
  <c r="S11" i="22"/>
  <c r="P11" i="22"/>
  <c r="O11" i="22"/>
  <c r="N47" i="22"/>
  <c r="T47" i="22" s="1"/>
  <c r="O8" i="22"/>
  <c r="P8" i="22"/>
  <c r="P7" i="22"/>
  <c r="O7" i="22"/>
  <c r="L11" i="22"/>
  <c r="R11" i="22" s="1"/>
  <c r="N27" i="22"/>
  <c r="N42" i="22"/>
  <c r="D77" i="19"/>
  <c r="C77" i="19"/>
  <c r="D78" i="19"/>
  <c r="C78" i="19"/>
  <c r="B78" i="19"/>
  <c r="I19" i="13" s="1"/>
  <c r="H81" i="19"/>
  <c r="E82" i="19"/>
  <c r="H80" i="19"/>
  <c r="H79" i="19"/>
  <c r="L42" i="22"/>
  <c r="J47" i="22"/>
  <c r="O47" i="22" s="1"/>
  <c r="H57" i="22"/>
  <c r="L27" i="22"/>
  <c r="L44" i="22"/>
  <c r="J56" i="22"/>
  <c r="N7" i="22"/>
  <c r="N17" i="22"/>
  <c r="N50" i="22"/>
  <c r="L17" i="22"/>
  <c r="N37" i="22"/>
  <c r="L50" i="22"/>
  <c r="L7" i="22"/>
  <c r="N36" i="22"/>
  <c r="L37" i="22"/>
  <c r="J46" i="22" l="1"/>
  <c r="N56" i="22"/>
  <c r="P47" i="22"/>
  <c r="S47" i="22"/>
  <c r="Q47" i="22"/>
  <c r="L51" i="22"/>
  <c r="J51" i="22"/>
  <c r="J10" i="13"/>
  <c r="J29" i="13"/>
  <c r="J40" i="13"/>
  <c r="J50" i="13"/>
  <c r="K40" i="13"/>
  <c r="K50" i="13"/>
  <c r="K10" i="13"/>
  <c r="K29" i="13"/>
  <c r="K9" i="13"/>
  <c r="K19" i="13"/>
  <c r="I60" i="13"/>
  <c r="I19" i="9" s="1"/>
  <c r="J19" i="13"/>
  <c r="J9" i="13"/>
  <c r="L48" i="22"/>
  <c r="L54" i="22"/>
  <c r="J54" i="22"/>
  <c r="N53" i="22"/>
  <c r="N48" i="22"/>
  <c r="J40" i="22"/>
  <c r="J44" i="22"/>
  <c r="N19" i="22"/>
  <c r="L10" i="22"/>
  <c r="N14" i="22"/>
  <c r="L21" i="22"/>
  <c r="L53" i="22"/>
  <c r="O37" i="22"/>
  <c r="U37" i="22" s="1"/>
  <c r="L41" i="22"/>
  <c r="N38" i="22"/>
  <c r="L38" i="22"/>
  <c r="J43" i="22"/>
  <c r="J35" i="22"/>
  <c r="N31" i="22"/>
  <c r="J30" i="22"/>
  <c r="N30" i="22"/>
  <c r="L28" i="22"/>
  <c r="L36" i="22"/>
  <c r="J22" i="22"/>
  <c r="L22" i="22"/>
  <c r="J21" i="22"/>
  <c r="L13" i="22"/>
  <c r="J13" i="22"/>
  <c r="J32" i="22"/>
  <c r="N34" i="22"/>
  <c r="J34" i="22"/>
  <c r="L32" i="22"/>
  <c r="L31" i="22"/>
  <c r="N18" i="22"/>
  <c r="N23" i="22"/>
  <c r="N9" i="22"/>
  <c r="J12" i="22"/>
  <c r="N12" i="22"/>
  <c r="L52" i="22"/>
  <c r="J49" i="22"/>
  <c r="L49" i="22"/>
  <c r="L55" i="22"/>
  <c r="J55" i="22"/>
  <c r="N52" i="22"/>
  <c r="N41" i="22"/>
  <c r="N46" i="22"/>
  <c r="N45" i="22"/>
  <c r="L39" i="22"/>
  <c r="L43" i="22"/>
  <c r="L40" i="22"/>
  <c r="N39" i="22"/>
  <c r="J45" i="22"/>
  <c r="J33" i="22"/>
  <c r="L33" i="22"/>
  <c r="J29" i="22"/>
  <c r="N28" i="22"/>
  <c r="L29" i="22"/>
  <c r="L35" i="22"/>
  <c r="L25" i="22"/>
  <c r="N26" i="22"/>
  <c r="N25" i="22"/>
  <c r="J23" i="22"/>
  <c r="L24" i="22"/>
  <c r="N11" i="22"/>
  <c r="T11" i="22" s="1"/>
  <c r="N16" i="22"/>
  <c r="J10" i="22"/>
  <c r="O10" i="22" s="1"/>
  <c r="L8" i="22"/>
  <c r="L16" i="22"/>
  <c r="J19" i="22"/>
  <c r="L26" i="22"/>
  <c r="Q11" i="22"/>
  <c r="N20" i="22"/>
  <c r="J20" i="22"/>
  <c r="L18" i="22"/>
  <c r="L14" i="22"/>
  <c r="J15" i="22"/>
  <c r="N8" i="22"/>
  <c r="N15" i="22"/>
  <c r="N24" i="22"/>
  <c r="L9" i="22"/>
  <c r="P10" i="22"/>
  <c r="Q8" i="22"/>
  <c r="R8" i="22"/>
  <c r="S8" i="22"/>
  <c r="T8" i="22"/>
  <c r="Q7" i="22"/>
  <c r="R7" i="22"/>
  <c r="T7" i="22"/>
  <c r="S7" i="22"/>
  <c r="U19" i="22"/>
  <c r="U17" i="22"/>
  <c r="U41" i="22"/>
  <c r="U28" i="22"/>
  <c r="U42" i="22"/>
  <c r="U9" i="22"/>
  <c r="U43" i="22"/>
  <c r="U56" i="22"/>
  <c r="U48" i="22"/>
  <c r="U22" i="22"/>
  <c r="U46" i="22"/>
  <c r="U33" i="22"/>
  <c r="U20" i="22"/>
  <c r="U44" i="22"/>
  <c r="U31" i="22"/>
  <c r="U55" i="22"/>
  <c r="U29" i="22"/>
  <c r="U53" i="22"/>
  <c r="U18" i="22"/>
  <c r="U16" i="22"/>
  <c r="U40" i="22"/>
  <c r="U27" i="22"/>
  <c r="U51" i="22"/>
  <c r="U14" i="22"/>
  <c r="U38" i="22"/>
  <c r="U25" i="22"/>
  <c r="U49" i="22"/>
  <c r="U12" i="22"/>
  <c r="U36" i="22"/>
  <c r="U23" i="22"/>
  <c r="U34" i="22"/>
  <c r="U21" i="22"/>
  <c r="U45" i="22"/>
  <c r="U32" i="22"/>
  <c r="U15" i="22"/>
  <c r="U39" i="22"/>
  <c r="U54" i="22"/>
  <c r="U52" i="22"/>
  <c r="U26" i="22"/>
  <c r="U50" i="22"/>
  <c r="U13" i="22"/>
  <c r="U30" i="22"/>
  <c r="U24" i="22"/>
  <c r="U35" i="22"/>
  <c r="D81" i="19"/>
  <c r="C81" i="19"/>
  <c r="B81" i="19"/>
  <c r="D80" i="19"/>
  <c r="C80" i="19"/>
  <c r="B80" i="19"/>
  <c r="C79" i="19"/>
  <c r="B79" i="19"/>
  <c r="D79" i="19"/>
  <c r="G21" i="21"/>
  <c r="G31" i="21"/>
  <c r="G41" i="21"/>
  <c r="G51" i="21"/>
  <c r="F12" i="21"/>
  <c r="F13" i="21"/>
  <c r="F14" i="21"/>
  <c r="F15" i="21"/>
  <c r="F16" i="21"/>
  <c r="F17" i="21"/>
  <c r="F18" i="21"/>
  <c r="F19" i="21"/>
  <c r="F20" i="21"/>
  <c r="F21" i="21"/>
  <c r="F22" i="21"/>
  <c r="F23" i="21"/>
  <c r="F24" i="21"/>
  <c r="F25" i="21"/>
  <c r="F26" i="21"/>
  <c r="F27" i="21"/>
  <c r="F28" i="21"/>
  <c r="F29" i="21"/>
  <c r="F30" i="21"/>
  <c r="F31" i="21"/>
  <c r="F32" i="21"/>
  <c r="F33" i="21"/>
  <c r="F34" i="21"/>
  <c r="F35" i="21"/>
  <c r="F36" i="21"/>
  <c r="F37" i="21"/>
  <c r="F38" i="21"/>
  <c r="F39" i="21"/>
  <c r="F40" i="21"/>
  <c r="F41" i="21"/>
  <c r="F42" i="21"/>
  <c r="F43" i="21"/>
  <c r="F44" i="21"/>
  <c r="F45" i="21"/>
  <c r="F46" i="21"/>
  <c r="F47" i="21"/>
  <c r="F48" i="21"/>
  <c r="F49" i="21"/>
  <c r="F50" i="21"/>
  <c r="F51" i="21"/>
  <c r="F52" i="21"/>
  <c r="F53" i="21"/>
  <c r="F54" i="21"/>
  <c r="F55" i="21"/>
  <c r="F56" i="21"/>
  <c r="F57" i="21"/>
  <c r="F58" i="21"/>
  <c r="F59" i="21"/>
  <c r="F60" i="21"/>
  <c r="F11" i="21"/>
  <c r="H16" i="12"/>
  <c r="H36" i="12"/>
  <c r="H46" i="12"/>
  <c r="H56" i="12"/>
  <c r="K7" i="17"/>
  <c r="G16" i="12"/>
  <c r="J16" i="12" s="1"/>
  <c r="G17" i="12"/>
  <c r="J17" i="12" s="1"/>
  <c r="R17" i="12" s="1"/>
  <c r="F65" i="12"/>
  <c r="G65" i="12" s="1"/>
  <c r="F64" i="12"/>
  <c r="G64" i="12" s="1"/>
  <c r="F63" i="12"/>
  <c r="G63" i="12" s="1"/>
  <c r="F62" i="12"/>
  <c r="G62" i="12" s="1"/>
  <c r="F61" i="12"/>
  <c r="G61" i="12" s="1"/>
  <c r="J61" i="12" s="1"/>
  <c r="R61" i="12" s="1"/>
  <c r="F60" i="12"/>
  <c r="G60" i="12" s="1"/>
  <c r="F59" i="12"/>
  <c r="F58" i="12"/>
  <c r="G58" i="12" s="1"/>
  <c r="F57" i="12"/>
  <c r="G57" i="12" s="1"/>
  <c r="J57" i="12" s="1"/>
  <c r="R57" i="12" s="1"/>
  <c r="F56" i="12"/>
  <c r="F55" i="12"/>
  <c r="G55" i="12" s="1"/>
  <c r="J55" i="12" s="1"/>
  <c r="R55" i="12" s="1"/>
  <c r="F54" i="12"/>
  <c r="G54" i="12" s="1"/>
  <c r="J54" i="12" s="1"/>
  <c r="R54" i="12" s="1"/>
  <c r="F53" i="12"/>
  <c r="G53" i="12" s="1"/>
  <c r="F52" i="12"/>
  <c r="G52" i="12" s="1"/>
  <c r="F51" i="12"/>
  <c r="G51" i="12" s="1"/>
  <c r="F50" i="12"/>
  <c r="G50" i="12" s="1"/>
  <c r="F49" i="12"/>
  <c r="G49" i="12" s="1"/>
  <c r="J49" i="12" s="1"/>
  <c r="R49" i="12" s="1"/>
  <c r="F48" i="12"/>
  <c r="G48" i="12" s="1"/>
  <c r="F47" i="12"/>
  <c r="F46" i="12"/>
  <c r="F45" i="12"/>
  <c r="G45" i="12" s="1"/>
  <c r="F44" i="12"/>
  <c r="G44" i="12" s="1"/>
  <c r="J44" i="12" s="1"/>
  <c r="R44" i="12" s="1"/>
  <c r="F43" i="12"/>
  <c r="G43" i="12" s="1"/>
  <c r="J43" i="12" s="1"/>
  <c r="R43" i="12" s="1"/>
  <c r="F42" i="12"/>
  <c r="G42" i="12" s="1"/>
  <c r="J42" i="12" s="1"/>
  <c r="R42" i="12" s="1"/>
  <c r="F41" i="12"/>
  <c r="G41" i="12" s="1"/>
  <c r="F40" i="12"/>
  <c r="G40" i="12" s="1"/>
  <c r="F39" i="12"/>
  <c r="G39" i="12" s="1"/>
  <c r="F38" i="12"/>
  <c r="G38" i="12" s="1"/>
  <c r="F37" i="12"/>
  <c r="G37" i="12" s="1"/>
  <c r="J37" i="12" s="1"/>
  <c r="R37" i="12" s="1"/>
  <c r="F36" i="12"/>
  <c r="F35" i="12"/>
  <c r="F34" i="12"/>
  <c r="G34" i="12" s="1"/>
  <c r="J34" i="12" s="1"/>
  <c r="R34" i="12" s="1"/>
  <c r="F33" i="12"/>
  <c r="G33" i="12" s="1"/>
  <c r="F32" i="12"/>
  <c r="G32" i="12" s="1"/>
  <c r="J32" i="12" s="1"/>
  <c r="R32" i="12" s="1"/>
  <c r="F31" i="12"/>
  <c r="G31" i="12" s="1"/>
  <c r="J31" i="12" s="1"/>
  <c r="R31" i="12" s="1"/>
  <c r="F30" i="12"/>
  <c r="G30" i="12" s="1"/>
  <c r="J30" i="12" s="1"/>
  <c r="R30" i="12" s="1"/>
  <c r="F29" i="12"/>
  <c r="G29" i="12" s="1"/>
  <c r="F28" i="12"/>
  <c r="G28" i="12" s="1"/>
  <c r="F27" i="12"/>
  <c r="G27" i="12" s="1"/>
  <c r="F26" i="12"/>
  <c r="G25" i="12"/>
  <c r="J25" i="12" s="1"/>
  <c r="R25" i="12" s="1"/>
  <c r="G22" i="12"/>
  <c r="J22" i="12" s="1"/>
  <c r="R22" i="12" s="1"/>
  <c r="G21" i="12"/>
  <c r="J21" i="12" s="1"/>
  <c r="R21" i="12" s="1"/>
  <c r="G20" i="12"/>
  <c r="J20" i="12" s="1"/>
  <c r="R20" i="12" s="1"/>
  <c r="G19" i="12"/>
  <c r="J19" i="12" s="1"/>
  <c r="R19" i="12" s="1"/>
  <c r="G18" i="12"/>
  <c r="J18" i="12" s="1"/>
  <c r="R18" i="12" s="1"/>
  <c r="K12" i="17"/>
  <c r="K15" i="17"/>
  <c r="K20" i="17"/>
  <c r="K25" i="17"/>
  <c r="K28" i="17"/>
  <c r="K33" i="17"/>
  <c r="K37" i="17"/>
  <c r="K40" i="17"/>
  <c r="K45" i="17"/>
  <c r="K49" i="17"/>
  <c r="K52" i="17"/>
  <c r="K8" i="17"/>
  <c r="K9" i="17"/>
  <c r="K10" i="17"/>
  <c r="K11" i="17"/>
  <c r="K13" i="17"/>
  <c r="K14" i="17"/>
  <c r="K16" i="17"/>
  <c r="K17" i="17"/>
  <c r="K18" i="17"/>
  <c r="K19" i="17"/>
  <c r="K21" i="17"/>
  <c r="K22" i="17"/>
  <c r="K23" i="17"/>
  <c r="K24" i="17"/>
  <c r="K26" i="17"/>
  <c r="K27" i="17"/>
  <c r="K29" i="17"/>
  <c r="K30" i="17"/>
  <c r="K31" i="17"/>
  <c r="K32" i="17"/>
  <c r="K34" i="17"/>
  <c r="K35" i="17"/>
  <c r="K36" i="17"/>
  <c r="K38" i="17"/>
  <c r="K39" i="17"/>
  <c r="K41" i="17"/>
  <c r="K42" i="17"/>
  <c r="K43" i="17"/>
  <c r="K44" i="17"/>
  <c r="K46" i="17"/>
  <c r="K47" i="17"/>
  <c r="K48" i="17"/>
  <c r="K50" i="17"/>
  <c r="K51" i="17"/>
  <c r="K53" i="17"/>
  <c r="K54" i="17"/>
  <c r="K55" i="17"/>
  <c r="K56" i="17"/>
  <c r="J62" i="12" l="1"/>
  <c r="R62" i="12" s="1"/>
  <c r="V62" i="12" s="1"/>
  <c r="J27" i="12"/>
  <c r="R27" i="12" s="1"/>
  <c r="V27" i="12" s="1"/>
  <c r="J39" i="12"/>
  <c r="R39" i="12" s="1"/>
  <c r="V39" i="12" s="1"/>
  <c r="J51" i="12"/>
  <c r="R51" i="12" s="1"/>
  <c r="V51" i="12" s="1"/>
  <c r="J63" i="12"/>
  <c r="R63" i="12" s="1"/>
  <c r="V63" i="12" s="1"/>
  <c r="J64" i="12"/>
  <c r="R64" i="12" s="1"/>
  <c r="V64" i="12" s="1"/>
  <c r="J50" i="12"/>
  <c r="R50" i="12" s="1"/>
  <c r="V50" i="12" s="1"/>
  <c r="J41" i="12"/>
  <c r="R41" i="12" s="1"/>
  <c r="V41" i="12" s="1"/>
  <c r="J53" i="12"/>
  <c r="R53" i="12" s="1"/>
  <c r="V53" i="12" s="1"/>
  <c r="J65" i="12"/>
  <c r="R65" i="12" s="1"/>
  <c r="V65" i="12" s="1"/>
  <c r="J52" i="12"/>
  <c r="R52" i="12" s="1"/>
  <c r="V52" i="12" s="1"/>
  <c r="J28" i="12"/>
  <c r="R28" i="12" s="1"/>
  <c r="V28" i="12" s="1"/>
  <c r="J40" i="12"/>
  <c r="R40" i="12" s="1"/>
  <c r="V40" i="12" s="1"/>
  <c r="J33" i="12"/>
  <c r="R33" i="12" s="1"/>
  <c r="V33" i="12" s="1"/>
  <c r="J45" i="12"/>
  <c r="R45" i="12" s="1"/>
  <c r="V45" i="12" s="1"/>
  <c r="G46" i="12"/>
  <c r="J46" i="12" s="1"/>
  <c r="R46" i="12" s="1"/>
  <c r="J58" i="12"/>
  <c r="R58" i="12" s="1"/>
  <c r="V58" i="12" s="1"/>
  <c r="J38" i="12"/>
  <c r="R38" i="12" s="1"/>
  <c r="V38" i="12" s="1"/>
  <c r="S36" i="12"/>
  <c r="J48" i="12"/>
  <c r="R48" i="12" s="1"/>
  <c r="V48" i="12" s="1"/>
  <c r="J60" i="12"/>
  <c r="R60" i="12" s="1"/>
  <c r="V60" i="12" s="1"/>
  <c r="J29" i="12"/>
  <c r="R29" i="12" s="1"/>
  <c r="V29" i="12" s="1"/>
  <c r="L50" i="13"/>
  <c r="L40" i="13"/>
  <c r="Q36" i="12"/>
  <c r="G32" i="21"/>
  <c r="N32" i="21" s="1"/>
  <c r="L31" i="21"/>
  <c r="J31" i="21"/>
  <c r="L29" i="13"/>
  <c r="S46" i="12"/>
  <c r="G42" i="21"/>
  <c r="N42" i="21" s="1"/>
  <c r="L41" i="21"/>
  <c r="J41" i="21"/>
  <c r="S56" i="12"/>
  <c r="S16" i="12"/>
  <c r="T16" i="12"/>
  <c r="S26" i="12"/>
  <c r="G22" i="21"/>
  <c r="L21" i="21"/>
  <c r="J21" i="21"/>
  <c r="L10" i="13"/>
  <c r="U7" i="22"/>
  <c r="U11" i="22"/>
  <c r="U47" i="22"/>
  <c r="G36" i="12"/>
  <c r="J36" i="12" s="1"/>
  <c r="R36" i="12" s="1"/>
  <c r="G56" i="12"/>
  <c r="J56" i="12" s="1"/>
  <c r="R56" i="12" s="1"/>
  <c r="L19" i="13"/>
  <c r="J60" i="13"/>
  <c r="K19" i="9" s="1"/>
  <c r="L9" i="13"/>
  <c r="K60" i="13"/>
  <c r="N19" i="9" s="1"/>
  <c r="O57" i="22"/>
  <c r="G12" i="21"/>
  <c r="U10" i="22"/>
  <c r="G60" i="21"/>
  <c r="G59" i="21"/>
  <c r="G58" i="21"/>
  <c r="G57" i="21"/>
  <c r="G56" i="21"/>
  <c r="G55" i="21"/>
  <c r="G54" i="21"/>
  <c r="G53" i="21"/>
  <c r="G52" i="21"/>
  <c r="Q56" i="12"/>
  <c r="U56" i="12" s="1"/>
  <c r="H57" i="12"/>
  <c r="H65" i="12"/>
  <c r="Q65" i="12" s="1"/>
  <c r="H64" i="12"/>
  <c r="Q64" i="12" s="1"/>
  <c r="H63" i="12"/>
  <c r="Q63" i="12" s="1"/>
  <c r="H62" i="12"/>
  <c r="Q62" i="12" s="1"/>
  <c r="H61" i="12"/>
  <c r="H60" i="12"/>
  <c r="H59" i="12"/>
  <c r="K59" i="12" s="1"/>
  <c r="H58" i="12"/>
  <c r="N41" i="21"/>
  <c r="G45" i="21"/>
  <c r="G44" i="21"/>
  <c r="G43" i="21"/>
  <c r="G50" i="21"/>
  <c r="G49" i="21"/>
  <c r="G48" i="21"/>
  <c r="G47" i="21"/>
  <c r="G46" i="21"/>
  <c r="Q46" i="12"/>
  <c r="U46" i="12" s="1"/>
  <c r="H54" i="12"/>
  <c r="H53" i="12"/>
  <c r="H48" i="12"/>
  <c r="H52" i="12"/>
  <c r="H51" i="12"/>
  <c r="H50" i="12"/>
  <c r="H49" i="12"/>
  <c r="H47" i="12"/>
  <c r="H55" i="12"/>
  <c r="N31" i="21"/>
  <c r="G38" i="21"/>
  <c r="G37" i="21"/>
  <c r="G35" i="21"/>
  <c r="G34" i="21"/>
  <c r="G33" i="21"/>
  <c r="G40" i="21"/>
  <c r="G39" i="21"/>
  <c r="G36" i="21"/>
  <c r="H43" i="12"/>
  <c r="K43" i="12" s="1"/>
  <c r="H42" i="12"/>
  <c r="H41" i="12"/>
  <c r="H39" i="12"/>
  <c r="H38" i="12"/>
  <c r="H45" i="12"/>
  <c r="H40" i="12"/>
  <c r="H37" i="12"/>
  <c r="H44" i="12"/>
  <c r="K44" i="12" s="1"/>
  <c r="H22" i="12"/>
  <c r="H21" i="12"/>
  <c r="H19" i="12"/>
  <c r="H17" i="12"/>
  <c r="H25" i="12"/>
  <c r="H24" i="12"/>
  <c r="H23" i="12"/>
  <c r="H20" i="12"/>
  <c r="H18" i="12"/>
  <c r="N21" i="21"/>
  <c r="N22" i="21"/>
  <c r="G30" i="21"/>
  <c r="G28" i="21"/>
  <c r="G27" i="21"/>
  <c r="G26" i="21"/>
  <c r="G24" i="21"/>
  <c r="G23" i="21"/>
  <c r="G25" i="21"/>
  <c r="G29" i="21"/>
  <c r="G19" i="21"/>
  <c r="G17" i="21"/>
  <c r="G16" i="21"/>
  <c r="G18" i="21"/>
  <c r="G15" i="21"/>
  <c r="G14" i="21"/>
  <c r="G13" i="21"/>
  <c r="G20" i="21"/>
  <c r="G26" i="12"/>
  <c r="J26" i="12" s="1"/>
  <c r="R26" i="12" s="1"/>
  <c r="P57" i="22"/>
  <c r="K26" i="12"/>
  <c r="H33" i="12"/>
  <c r="H32" i="12"/>
  <c r="H31" i="12"/>
  <c r="H29" i="12"/>
  <c r="H30" i="12"/>
  <c r="H27" i="12"/>
  <c r="H35" i="12"/>
  <c r="H34" i="12"/>
  <c r="H28" i="12"/>
  <c r="K57" i="17"/>
  <c r="I17" i="9" s="1"/>
  <c r="O61" i="21"/>
  <c r="N51" i="21"/>
  <c r="Q57" i="22"/>
  <c r="R57" i="22"/>
  <c r="S57" i="22"/>
  <c r="T57" i="22"/>
  <c r="U8" i="22"/>
  <c r="N11" i="21"/>
  <c r="V54" i="12"/>
  <c r="V42" i="12"/>
  <c r="V30" i="12"/>
  <c r="V18" i="12"/>
  <c r="V55" i="12"/>
  <c r="V43" i="12"/>
  <c r="V31" i="12"/>
  <c r="V19" i="12"/>
  <c r="V44" i="12"/>
  <c r="V32" i="12"/>
  <c r="V20" i="12"/>
  <c r="V57" i="12"/>
  <c r="V21" i="12"/>
  <c r="V34" i="12"/>
  <c r="V22" i="12"/>
  <c r="V61" i="12"/>
  <c r="V49" i="12"/>
  <c r="V37" i="12"/>
  <c r="V25" i="12"/>
  <c r="H61" i="21"/>
  <c r="G59" i="12"/>
  <c r="J59" i="12" s="1"/>
  <c r="R59" i="12" s="1"/>
  <c r="G47" i="12"/>
  <c r="J47" i="12" s="1"/>
  <c r="R47" i="12" s="1"/>
  <c r="G35" i="12"/>
  <c r="J35" i="12" s="1"/>
  <c r="R35" i="12" s="1"/>
  <c r="G23" i="12"/>
  <c r="J23" i="12" s="1"/>
  <c r="R23" i="12" s="1"/>
  <c r="G24" i="12"/>
  <c r="J24" i="12" s="1"/>
  <c r="R24" i="12" s="1"/>
  <c r="K19" i="12"/>
  <c r="K56" i="12"/>
  <c r="K46" i="12"/>
  <c r="K36" i="12"/>
  <c r="K49" i="12"/>
  <c r="Q26" i="12"/>
  <c r="K16" i="12"/>
  <c r="R16" i="12" s="1"/>
  <c r="Q16" i="12"/>
  <c r="U16" i="12" s="1"/>
  <c r="L60" i="13" l="1"/>
  <c r="Q28" i="12"/>
  <c r="Q30" i="12"/>
  <c r="Q33" i="12"/>
  <c r="L15" i="21"/>
  <c r="J15" i="21"/>
  <c r="N19" i="21"/>
  <c r="L19" i="21"/>
  <c r="J19" i="21"/>
  <c r="N24" i="21"/>
  <c r="L24" i="21"/>
  <c r="J24" i="21"/>
  <c r="N30" i="21"/>
  <c r="L30" i="21"/>
  <c r="J30" i="21"/>
  <c r="K22" i="12"/>
  <c r="Q45" i="12"/>
  <c r="Q42" i="12"/>
  <c r="N40" i="21"/>
  <c r="L40" i="21"/>
  <c r="J40" i="21"/>
  <c r="N35" i="21"/>
  <c r="L35" i="21"/>
  <c r="J35" i="21"/>
  <c r="Q55" i="12"/>
  <c r="Q51" i="12"/>
  <c r="Q54" i="12"/>
  <c r="N48" i="21"/>
  <c r="L48" i="21"/>
  <c r="J48" i="21"/>
  <c r="N43" i="21"/>
  <c r="L43" i="21"/>
  <c r="J43" i="21"/>
  <c r="Q58" i="12"/>
  <c r="Q57" i="12"/>
  <c r="N54" i="21"/>
  <c r="L54" i="21"/>
  <c r="J54" i="21"/>
  <c r="N58" i="21"/>
  <c r="L58" i="21"/>
  <c r="J58" i="21"/>
  <c r="Q32" i="12"/>
  <c r="L14" i="21"/>
  <c r="J14" i="21"/>
  <c r="N17" i="21"/>
  <c r="L17" i="21"/>
  <c r="J17" i="21"/>
  <c r="N23" i="21"/>
  <c r="L23" i="21"/>
  <c r="J23" i="21"/>
  <c r="N28" i="21"/>
  <c r="L28" i="21"/>
  <c r="J28" i="21"/>
  <c r="K25" i="12"/>
  <c r="K21" i="12"/>
  <c r="K40" i="12"/>
  <c r="Q41" i="12"/>
  <c r="N39" i="21"/>
  <c r="L39" i="21"/>
  <c r="J39" i="21"/>
  <c r="N34" i="21"/>
  <c r="L34" i="21"/>
  <c r="J34" i="21"/>
  <c r="Q50" i="12"/>
  <c r="Q53" i="12"/>
  <c r="N47" i="21"/>
  <c r="L47" i="21"/>
  <c r="J47" i="21"/>
  <c r="Q61" i="12"/>
  <c r="N53" i="21"/>
  <c r="L53" i="21"/>
  <c r="J53" i="21"/>
  <c r="N57" i="21"/>
  <c r="L57" i="21"/>
  <c r="J57" i="21"/>
  <c r="N12" i="21"/>
  <c r="L12" i="21"/>
  <c r="J12" i="21"/>
  <c r="L42" i="21"/>
  <c r="J42" i="21"/>
  <c r="Q35" i="12"/>
  <c r="Q31" i="12"/>
  <c r="N13" i="21"/>
  <c r="L13" i="21"/>
  <c r="J13" i="21"/>
  <c r="N16" i="21"/>
  <c r="L16" i="21"/>
  <c r="J16" i="21"/>
  <c r="N25" i="21"/>
  <c r="L25" i="21"/>
  <c r="J25" i="21"/>
  <c r="L27" i="21"/>
  <c r="J27" i="21"/>
  <c r="K24" i="12"/>
  <c r="Q37" i="12"/>
  <c r="Q39" i="12"/>
  <c r="N36" i="21"/>
  <c r="L36" i="21"/>
  <c r="J36" i="21"/>
  <c r="N33" i="21"/>
  <c r="L33" i="21"/>
  <c r="J33" i="21"/>
  <c r="N38" i="21"/>
  <c r="L38" i="21"/>
  <c r="J38" i="21"/>
  <c r="Q49" i="12"/>
  <c r="Q48" i="12"/>
  <c r="N46" i="21"/>
  <c r="L46" i="21"/>
  <c r="J46" i="21"/>
  <c r="N50" i="21"/>
  <c r="L50" i="21"/>
  <c r="J50" i="21"/>
  <c r="N45" i="21"/>
  <c r="L45" i="21"/>
  <c r="J45" i="21"/>
  <c r="Q60" i="12"/>
  <c r="N52" i="21"/>
  <c r="L52" i="21"/>
  <c r="J52" i="21"/>
  <c r="N56" i="21"/>
  <c r="L56" i="21"/>
  <c r="J56" i="21"/>
  <c r="N60" i="21"/>
  <c r="J60" i="21"/>
  <c r="L22" i="21"/>
  <c r="J22" i="21"/>
  <c r="Q34" i="12"/>
  <c r="Q29" i="12"/>
  <c r="N20" i="21"/>
  <c r="L20" i="21"/>
  <c r="J20" i="21"/>
  <c r="N18" i="21"/>
  <c r="L18" i="21"/>
  <c r="J18" i="21"/>
  <c r="N29" i="21"/>
  <c r="L29" i="21"/>
  <c r="J29" i="21"/>
  <c r="L26" i="21"/>
  <c r="J26" i="21"/>
  <c r="K23" i="12"/>
  <c r="Q44" i="12"/>
  <c r="Q38" i="12"/>
  <c r="Q43" i="12"/>
  <c r="N37" i="21"/>
  <c r="L37" i="21"/>
  <c r="J37" i="21"/>
  <c r="Q47" i="12"/>
  <c r="N49" i="21"/>
  <c r="L49" i="21"/>
  <c r="J49" i="21"/>
  <c r="N44" i="21"/>
  <c r="L44" i="21"/>
  <c r="J44" i="21"/>
  <c r="N55" i="21"/>
  <c r="L55" i="21"/>
  <c r="J55" i="21"/>
  <c r="N59" i="21"/>
  <c r="L59" i="21"/>
  <c r="J59" i="21"/>
  <c r="L32" i="21"/>
  <c r="J32" i="21"/>
  <c r="K38" i="12"/>
  <c r="V36" i="12"/>
  <c r="O19" i="9"/>
  <c r="H46" i="9" s="1"/>
  <c r="K62" i="12"/>
  <c r="L60" i="21"/>
  <c r="K64" i="12"/>
  <c r="K58" i="12"/>
  <c r="K54" i="12"/>
  <c r="R11" i="21"/>
  <c r="V56" i="12"/>
  <c r="Q59" i="12"/>
  <c r="K57" i="12"/>
  <c r="K65" i="12"/>
  <c r="K63" i="12"/>
  <c r="Q52" i="12"/>
  <c r="K51" i="12"/>
  <c r="K53" i="12"/>
  <c r="K47" i="12"/>
  <c r="K50" i="12"/>
  <c r="V46" i="12"/>
  <c r="K37" i="12"/>
  <c r="Q61" i="21"/>
  <c r="K39" i="12"/>
  <c r="K29" i="12"/>
  <c r="Q27" i="12"/>
  <c r="Q18" i="12"/>
  <c r="Q22" i="12"/>
  <c r="Q21" i="12"/>
  <c r="Q19" i="12"/>
  <c r="Q25" i="12"/>
  <c r="Q23" i="12"/>
  <c r="K18" i="12"/>
  <c r="Q24" i="12"/>
  <c r="Q20" i="12"/>
  <c r="V26" i="12"/>
  <c r="K60" i="12"/>
  <c r="K61" i="12"/>
  <c r="K55" i="12"/>
  <c r="K48" i="12"/>
  <c r="K52" i="12"/>
  <c r="K45" i="12"/>
  <c r="Q40" i="12"/>
  <c r="K42" i="12"/>
  <c r="K41" i="12"/>
  <c r="K30" i="12"/>
  <c r="K20" i="12"/>
  <c r="N14" i="21"/>
  <c r="K28" i="12"/>
  <c r="N26" i="21"/>
  <c r="N27" i="21"/>
  <c r="N15" i="21"/>
  <c r="K31" i="12"/>
  <c r="K34" i="12"/>
  <c r="K33" i="12"/>
  <c r="K32" i="12"/>
  <c r="K27" i="12"/>
  <c r="K35" i="12"/>
  <c r="N20" i="9"/>
  <c r="K20" i="9"/>
  <c r="I23" i="9"/>
  <c r="O17" i="9"/>
  <c r="U57" i="22"/>
  <c r="V59" i="12"/>
  <c r="V47" i="12"/>
  <c r="V35" i="12"/>
  <c r="V23" i="12"/>
  <c r="V24" i="12"/>
  <c r="K17" i="12"/>
  <c r="Q17" i="12"/>
  <c r="Y71" i="19"/>
  <c r="Y127" i="19" s="1"/>
  <c r="X71" i="19"/>
  <c r="X127" i="19" s="1"/>
  <c r="W71" i="19"/>
  <c r="W127" i="19" s="1"/>
  <c r="V71" i="19"/>
  <c r="V127" i="19" s="1"/>
  <c r="U71" i="19"/>
  <c r="U127" i="19" s="1"/>
  <c r="T71" i="19"/>
  <c r="T127" i="19" s="1"/>
  <c r="S71" i="19"/>
  <c r="S127" i="19" s="1"/>
  <c r="R71" i="19"/>
  <c r="R127" i="19" s="1"/>
  <c r="Q71" i="19"/>
  <c r="Q127" i="19" s="1"/>
  <c r="P71" i="19"/>
  <c r="P127" i="19" s="1"/>
  <c r="O71" i="19"/>
  <c r="O127" i="19" s="1"/>
  <c r="N71" i="19"/>
  <c r="N127" i="19" s="1"/>
  <c r="M71" i="19"/>
  <c r="M127" i="19" s="1"/>
  <c r="L71" i="19"/>
  <c r="L127" i="19" s="1"/>
  <c r="K71" i="19"/>
  <c r="K127" i="19" s="1"/>
  <c r="J71" i="19"/>
  <c r="J127" i="19" s="1"/>
  <c r="I71" i="19"/>
  <c r="I127" i="19" s="1"/>
  <c r="H71" i="19"/>
  <c r="H127" i="19" s="1"/>
  <c r="G71" i="19"/>
  <c r="G127" i="19" s="1"/>
  <c r="F71" i="19"/>
  <c r="F127" i="19" s="1"/>
  <c r="E71" i="19"/>
  <c r="E127" i="19" s="1"/>
  <c r="D71" i="19"/>
  <c r="D127" i="19" s="1"/>
  <c r="C71" i="19"/>
  <c r="C127" i="19" s="1"/>
  <c r="B71" i="19"/>
  <c r="B127" i="19" s="1"/>
  <c r="Y70" i="19"/>
  <c r="Y126" i="19" s="1"/>
  <c r="X70" i="19"/>
  <c r="X126" i="19" s="1"/>
  <c r="W70" i="19"/>
  <c r="W126" i="19" s="1"/>
  <c r="V70" i="19"/>
  <c r="V126" i="19" s="1"/>
  <c r="U70" i="19"/>
  <c r="U126" i="19" s="1"/>
  <c r="T70" i="19"/>
  <c r="T126" i="19" s="1"/>
  <c r="S70" i="19"/>
  <c r="S126" i="19" s="1"/>
  <c r="R70" i="19"/>
  <c r="R126" i="19" s="1"/>
  <c r="Q70" i="19"/>
  <c r="Q126" i="19" s="1"/>
  <c r="P70" i="19"/>
  <c r="P126" i="19" s="1"/>
  <c r="O70" i="19"/>
  <c r="O126" i="19" s="1"/>
  <c r="N70" i="19"/>
  <c r="N126" i="19" s="1"/>
  <c r="M70" i="19"/>
  <c r="M126" i="19" s="1"/>
  <c r="L70" i="19"/>
  <c r="L126" i="19" s="1"/>
  <c r="K70" i="19"/>
  <c r="K126" i="19" s="1"/>
  <c r="J70" i="19"/>
  <c r="J126" i="19" s="1"/>
  <c r="I70" i="19"/>
  <c r="I126" i="19" s="1"/>
  <c r="H70" i="19"/>
  <c r="H126" i="19" s="1"/>
  <c r="G70" i="19"/>
  <c r="G126" i="19" s="1"/>
  <c r="F70" i="19"/>
  <c r="F126" i="19" s="1"/>
  <c r="E70" i="19"/>
  <c r="E126" i="19" s="1"/>
  <c r="D70" i="19"/>
  <c r="D126" i="19" s="1"/>
  <c r="C70" i="19"/>
  <c r="C126" i="19" s="1"/>
  <c r="B70" i="19"/>
  <c r="B126" i="19" s="1"/>
  <c r="Y68" i="19"/>
  <c r="Y124" i="19" s="1"/>
  <c r="X68" i="19"/>
  <c r="X124" i="19" s="1"/>
  <c r="W68" i="19"/>
  <c r="W124" i="19" s="1"/>
  <c r="V68" i="19"/>
  <c r="V124" i="19" s="1"/>
  <c r="U68" i="19"/>
  <c r="U124" i="19" s="1"/>
  <c r="T68" i="19"/>
  <c r="T124" i="19" s="1"/>
  <c r="S68" i="19"/>
  <c r="S124" i="19" s="1"/>
  <c r="R68" i="19"/>
  <c r="R124" i="19" s="1"/>
  <c r="Q68" i="19"/>
  <c r="Q124" i="19" s="1"/>
  <c r="P68" i="19"/>
  <c r="P124" i="19" s="1"/>
  <c r="O68" i="19"/>
  <c r="O124" i="19" s="1"/>
  <c r="N68" i="19"/>
  <c r="N124" i="19" s="1"/>
  <c r="M68" i="19"/>
  <c r="M124" i="19" s="1"/>
  <c r="L68" i="19"/>
  <c r="L124" i="19" s="1"/>
  <c r="K68" i="19"/>
  <c r="K124" i="19" s="1"/>
  <c r="J68" i="19"/>
  <c r="J124" i="19" s="1"/>
  <c r="F68" i="19"/>
  <c r="F124" i="19" s="1"/>
  <c r="I68" i="19"/>
  <c r="I124" i="19" s="1"/>
  <c r="H68" i="19"/>
  <c r="H124" i="19" s="1"/>
  <c r="G68" i="19"/>
  <c r="G124" i="19" s="1"/>
  <c r="E68" i="19"/>
  <c r="E124" i="19" s="1"/>
  <c r="D68" i="19"/>
  <c r="D124" i="19" s="1"/>
  <c r="C68" i="19"/>
  <c r="C124" i="19" s="1"/>
  <c r="B68" i="19"/>
  <c r="B124" i="19" s="1"/>
  <c r="Y54" i="19"/>
  <c r="Y110" i="19" s="1"/>
  <c r="X54" i="19"/>
  <c r="X110" i="19" s="1"/>
  <c r="W54" i="19"/>
  <c r="W110" i="19" s="1"/>
  <c r="V54" i="19"/>
  <c r="V110" i="19" s="1"/>
  <c r="U54" i="19"/>
  <c r="U110" i="19" s="1"/>
  <c r="T54" i="19"/>
  <c r="T110" i="19" s="1"/>
  <c r="S54" i="19"/>
  <c r="S110" i="19" s="1"/>
  <c r="R54" i="19"/>
  <c r="R110" i="19" s="1"/>
  <c r="Q54" i="19"/>
  <c r="Q110" i="19" s="1"/>
  <c r="P54" i="19"/>
  <c r="P110" i="19" s="1"/>
  <c r="O54" i="19"/>
  <c r="O110" i="19" s="1"/>
  <c r="N54" i="19"/>
  <c r="N110" i="19" s="1"/>
  <c r="M54" i="19"/>
  <c r="M110" i="19" s="1"/>
  <c r="L54" i="19"/>
  <c r="L110" i="19" s="1"/>
  <c r="K54" i="19"/>
  <c r="K110" i="19" s="1"/>
  <c r="J54" i="19"/>
  <c r="J110" i="19" s="1"/>
  <c r="I54" i="19"/>
  <c r="I110" i="19" s="1"/>
  <c r="H54" i="19"/>
  <c r="H110" i="19" s="1"/>
  <c r="G54" i="19"/>
  <c r="G110" i="19" s="1"/>
  <c r="F54" i="19"/>
  <c r="F110" i="19" s="1"/>
  <c r="E54" i="19"/>
  <c r="E110" i="19" s="1"/>
  <c r="D54" i="19"/>
  <c r="D110" i="19" s="1"/>
  <c r="C54" i="19"/>
  <c r="C110" i="19" s="1"/>
  <c r="B54" i="19"/>
  <c r="B110" i="19" s="1"/>
  <c r="O23" i="9" l="1"/>
  <c r="F45" i="9"/>
  <c r="K24" i="9"/>
  <c r="K25" i="9" s="1"/>
  <c r="O20" i="9"/>
  <c r="I46" i="9" s="1"/>
  <c r="N24" i="9"/>
  <c r="N25" i="9" s="1"/>
  <c r="Y69" i="19"/>
  <c r="Y125" i="19" s="1"/>
  <c r="X69" i="19"/>
  <c r="X125" i="19" s="1"/>
  <c r="W69" i="19"/>
  <c r="W125" i="19" s="1"/>
  <c r="V69" i="19"/>
  <c r="V125" i="19" s="1"/>
  <c r="U69" i="19"/>
  <c r="U125" i="19" s="1"/>
  <c r="T69" i="19"/>
  <c r="T125" i="19" s="1"/>
  <c r="S69" i="19"/>
  <c r="S125" i="19" s="1"/>
  <c r="R69" i="19"/>
  <c r="R125" i="19" s="1"/>
  <c r="Q69" i="19"/>
  <c r="Q125" i="19" s="1"/>
  <c r="P69" i="19"/>
  <c r="P125" i="19" s="1"/>
  <c r="O69" i="19"/>
  <c r="O125" i="19" s="1"/>
  <c r="N69" i="19"/>
  <c r="N125" i="19" s="1"/>
  <c r="M69" i="19"/>
  <c r="M125" i="19" s="1"/>
  <c r="L69" i="19"/>
  <c r="L125" i="19" s="1"/>
  <c r="K69" i="19"/>
  <c r="K125" i="19" s="1"/>
  <c r="J69" i="19"/>
  <c r="J125" i="19" s="1"/>
  <c r="I69" i="19"/>
  <c r="I125" i="19" s="1"/>
  <c r="H69" i="19"/>
  <c r="H125" i="19" s="1"/>
  <c r="G69" i="19"/>
  <c r="G125" i="19" s="1"/>
  <c r="F69" i="19"/>
  <c r="F125" i="19" s="1"/>
  <c r="E69" i="19"/>
  <c r="E125" i="19" s="1"/>
  <c r="D69" i="19"/>
  <c r="D125" i="19" s="1"/>
  <c r="C69" i="19"/>
  <c r="C125" i="19" s="1"/>
  <c r="B69" i="19"/>
  <c r="B125" i="19" s="1"/>
  <c r="Y67" i="19"/>
  <c r="Y123" i="19" s="1"/>
  <c r="X67" i="19"/>
  <c r="X123" i="19" s="1"/>
  <c r="W67" i="19"/>
  <c r="W123" i="19" s="1"/>
  <c r="V67" i="19"/>
  <c r="V123" i="19" s="1"/>
  <c r="U67" i="19"/>
  <c r="U123" i="19" s="1"/>
  <c r="T67" i="19"/>
  <c r="T123" i="19" s="1"/>
  <c r="S67" i="19"/>
  <c r="S123" i="19" s="1"/>
  <c r="R67" i="19"/>
  <c r="R123" i="19" s="1"/>
  <c r="Q67" i="19"/>
  <c r="Q123" i="19" s="1"/>
  <c r="P67" i="19"/>
  <c r="P123" i="19" s="1"/>
  <c r="O67" i="19"/>
  <c r="O123" i="19" s="1"/>
  <c r="N67" i="19"/>
  <c r="N123" i="19" s="1"/>
  <c r="M67" i="19"/>
  <c r="M123" i="19" s="1"/>
  <c r="L67" i="19"/>
  <c r="L123" i="19" s="1"/>
  <c r="K67" i="19"/>
  <c r="K123" i="19" s="1"/>
  <c r="J67" i="19"/>
  <c r="J123" i="19" s="1"/>
  <c r="I67" i="19"/>
  <c r="I123" i="19" s="1"/>
  <c r="H67" i="19"/>
  <c r="H123" i="19" s="1"/>
  <c r="G67" i="19"/>
  <c r="G123" i="19" s="1"/>
  <c r="F67" i="19"/>
  <c r="F123" i="19" s="1"/>
  <c r="E67" i="19"/>
  <c r="E123" i="19" s="1"/>
  <c r="D67" i="19"/>
  <c r="D123" i="19" s="1"/>
  <c r="C67" i="19"/>
  <c r="C123" i="19" s="1"/>
  <c r="B67" i="19"/>
  <c r="B123" i="19" s="1"/>
  <c r="Y66" i="19"/>
  <c r="Y122" i="19" s="1"/>
  <c r="X66" i="19"/>
  <c r="X122" i="19" s="1"/>
  <c r="W66" i="19"/>
  <c r="W122" i="19" s="1"/>
  <c r="V66" i="19"/>
  <c r="V122" i="19" s="1"/>
  <c r="U66" i="19"/>
  <c r="U122" i="19" s="1"/>
  <c r="T66" i="19"/>
  <c r="T122" i="19" s="1"/>
  <c r="S66" i="19"/>
  <c r="S122" i="19" s="1"/>
  <c r="R66" i="19"/>
  <c r="R122" i="19" s="1"/>
  <c r="Q66" i="19"/>
  <c r="Q122" i="19" s="1"/>
  <c r="P66" i="19"/>
  <c r="P122" i="19" s="1"/>
  <c r="O66" i="19"/>
  <c r="O122" i="19" s="1"/>
  <c r="N66" i="19"/>
  <c r="N122" i="19" s="1"/>
  <c r="M66" i="19"/>
  <c r="M122" i="19" s="1"/>
  <c r="L66" i="19"/>
  <c r="L122" i="19" s="1"/>
  <c r="K66" i="19"/>
  <c r="K122" i="19" s="1"/>
  <c r="J66" i="19"/>
  <c r="J122" i="19" s="1"/>
  <c r="I66" i="19"/>
  <c r="I122" i="19" s="1"/>
  <c r="H66" i="19"/>
  <c r="H122" i="19" s="1"/>
  <c r="G66" i="19"/>
  <c r="G122" i="19" s="1"/>
  <c r="F66" i="19"/>
  <c r="F122" i="19" s="1"/>
  <c r="E66" i="19"/>
  <c r="E122" i="19" s="1"/>
  <c r="D66" i="19"/>
  <c r="D122" i="19" s="1"/>
  <c r="C66" i="19"/>
  <c r="C122" i="19" s="1"/>
  <c r="B66" i="19"/>
  <c r="B122" i="19" s="1"/>
  <c r="Y65" i="19"/>
  <c r="Y121" i="19" s="1"/>
  <c r="X65" i="19"/>
  <c r="X121" i="19" s="1"/>
  <c r="W65" i="19"/>
  <c r="W121" i="19" s="1"/>
  <c r="V65" i="19"/>
  <c r="V121" i="19" s="1"/>
  <c r="U65" i="19"/>
  <c r="U121" i="19" s="1"/>
  <c r="T65" i="19"/>
  <c r="T121" i="19" s="1"/>
  <c r="S65" i="19"/>
  <c r="S121" i="19" s="1"/>
  <c r="R65" i="19"/>
  <c r="R121" i="19" s="1"/>
  <c r="Q65" i="19"/>
  <c r="Q121" i="19" s="1"/>
  <c r="P65" i="19"/>
  <c r="P121" i="19" s="1"/>
  <c r="O65" i="19"/>
  <c r="O121" i="19" s="1"/>
  <c r="N65" i="19"/>
  <c r="N121" i="19" s="1"/>
  <c r="M65" i="19"/>
  <c r="M121" i="19" s="1"/>
  <c r="L65" i="19"/>
  <c r="L121" i="19" s="1"/>
  <c r="K65" i="19"/>
  <c r="K121" i="19" s="1"/>
  <c r="J65" i="19"/>
  <c r="J121" i="19" s="1"/>
  <c r="I65" i="19"/>
  <c r="I121" i="19" s="1"/>
  <c r="H65" i="19"/>
  <c r="H121" i="19" s="1"/>
  <c r="G65" i="19"/>
  <c r="G121" i="19" s="1"/>
  <c r="F65" i="19"/>
  <c r="F121" i="19" s="1"/>
  <c r="E65" i="19"/>
  <c r="E121" i="19" s="1"/>
  <c r="D65" i="19"/>
  <c r="D121" i="19" s="1"/>
  <c r="C65" i="19"/>
  <c r="C121" i="19" s="1"/>
  <c r="B65" i="19"/>
  <c r="B121" i="19" s="1"/>
  <c r="Y63" i="19"/>
  <c r="Y119" i="19" s="1"/>
  <c r="X63" i="19"/>
  <c r="X119" i="19" s="1"/>
  <c r="W63" i="19"/>
  <c r="W119" i="19" s="1"/>
  <c r="V63" i="19"/>
  <c r="V119" i="19" s="1"/>
  <c r="U63" i="19"/>
  <c r="U119" i="19" s="1"/>
  <c r="T63" i="19"/>
  <c r="T119" i="19" s="1"/>
  <c r="S63" i="19"/>
  <c r="S119" i="19" s="1"/>
  <c r="R63" i="19"/>
  <c r="R119" i="19" s="1"/>
  <c r="Q63" i="19"/>
  <c r="Q119" i="19" s="1"/>
  <c r="P63" i="19"/>
  <c r="P119" i="19" s="1"/>
  <c r="O63" i="19"/>
  <c r="O119" i="19" s="1"/>
  <c r="N63" i="19"/>
  <c r="N119" i="19" s="1"/>
  <c r="M63" i="19"/>
  <c r="M119" i="19" s="1"/>
  <c r="L63" i="19"/>
  <c r="L119" i="19" s="1"/>
  <c r="K63" i="19"/>
  <c r="K119" i="19" s="1"/>
  <c r="J63" i="19"/>
  <c r="J119" i="19" s="1"/>
  <c r="I63" i="19"/>
  <c r="I119" i="19" s="1"/>
  <c r="H63" i="19"/>
  <c r="H119" i="19" s="1"/>
  <c r="G63" i="19"/>
  <c r="G119" i="19" s="1"/>
  <c r="F63" i="19"/>
  <c r="F119" i="19" s="1"/>
  <c r="E63" i="19"/>
  <c r="E119" i="19" s="1"/>
  <c r="D63" i="19"/>
  <c r="D119" i="19" s="1"/>
  <c r="C63" i="19"/>
  <c r="C119" i="19" s="1"/>
  <c r="B63" i="19"/>
  <c r="B119" i="19" s="1"/>
  <c r="Y59" i="19"/>
  <c r="Y115" i="19" s="1"/>
  <c r="X59" i="19"/>
  <c r="X115" i="19" s="1"/>
  <c r="W59" i="19"/>
  <c r="W115" i="19" s="1"/>
  <c r="V59" i="19"/>
  <c r="V115" i="19" s="1"/>
  <c r="U59" i="19"/>
  <c r="U115" i="19" s="1"/>
  <c r="T59" i="19"/>
  <c r="T115" i="19" s="1"/>
  <c r="S59" i="19"/>
  <c r="S115" i="19" s="1"/>
  <c r="R59" i="19"/>
  <c r="R115" i="19" s="1"/>
  <c r="Q59" i="19"/>
  <c r="Q115" i="19" s="1"/>
  <c r="P59" i="19"/>
  <c r="P115" i="19" s="1"/>
  <c r="O59" i="19"/>
  <c r="O115" i="19" s="1"/>
  <c r="N59" i="19"/>
  <c r="N115" i="19" s="1"/>
  <c r="M59" i="19"/>
  <c r="M115" i="19" s="1"/>
  <c r="L59" i="19"/>
  <c r="L115" i="19" s="1"/>
  <c r="K59" i="19"/>
  <c r="K115" i="19" s="1"/>
  <c r="J59" i="19"/>
  <c r="J115" i="19" s="1"/>
  <c r="I59" i="19"/>
  <c r="I115" i="19" s="1"/>
  <c r="H59" i="19"/>
  <c r="H115" i="19" s="1"/>
  <c r="G59" i="19"/>
  <c r="G115" i="19" s="1"/>
  <c r="F59" i="19"/>
  <c r="F115" i="19" s="1"/>
  <c r="E59" i="19"/>
  <c r="E115" i="19" s="1"/>
  <c r="D59" i="19"/>
  <c r="D115" i="19" s="1"/>
  <c r="C59" i="19"/>
  <c r="C115" i="19" s="1"/>
  <c r="B59" i="19"/>
  <c r="B115" i="19" s="1"/>
  <c r="Y57" i="19"/>
  <c r="Y113" i="19" s="1"/>
  <c r="X57" i="19"/>
  <c r="X113" i="19" s="1"/>
  <c r="W57" i="19"/>
  <c r="W113" i="19" s="1"/>
  <c r="V57" i="19"/>
  <c r="V113" i="19" s="1"/>
  <c r="U57" i="19"/>
  <c r="U113" i="19" s="1"/>
  <c r="T57" i="19"/>
  <c r="T113" i="19" s="1"/>
  <c r="S57" i="19"/>
  <c r="S113" i="19" s="1"/>
  <c r="R57" i="19"/>
  <c r="R113" i="19" s="1"/>
  <c r="Q57" i="19"/>
  <c r="Q113" i="19" s="1"/>
  <c r="P57" i="19"/>
  <c r="P113" i="19" s="1"/>
  <c r="O57" i="19"/>
  <c r="O113" i="19" s="1"/>
  <c r="N57" i="19"/>
  <c r="N113" i="19" s="1"/>
  <c r="M57" i="19"/>
  <c r="M113" i="19" s="1"/>
  <c r="L57" i="19"/>
  <c r="L113" i="19" s="1"/>
  <c r="K57" i="19"/>
  <c r="K113" i="19" s="1"/>
  <c r="J57" i="19"/>
  <c r="J113" i="19" s="1"/>
  <c r="I57" i="19"/>
  <c r="I113" i="19" s="1"/>
  <c r="H57" i="19"/>
  <c r="H113" i="19" s="1"/>
  <c r="G57" i="19"/>
  <c r="G113" i="19" s="1"/>
  <c r="F57" i="19"/>
  <c r="F113" i="19" s="1"/>
  <c r="E57" i="19"/>
  <c r="E113" i="19" s="1"/>
  <c r="D57" i="19"/>
  <c r="D113" i="19" s="1"/>
  <c r="C57" i="19"/>
  <c r="C113" i="19" s="1"/>
  <c r="B57" i="19"/>
  <c r="B113" i="19" s="1"/>
  <c r="Y56" i="19"/>
  <c r="Y112" i="19" s="1"/>
  <c r="X56" i="19"/>
  <c r="X112" i="19" s="1"/>
  <c r="W56" i="19"/>
  <c r="W112" i="19" s="1"/>
  <c r="V56" i="19"/>
  <c r="V112" i="19" s="1"/>
  <c r="U56" i="19"/>
  <c r="U112" i="19" s="1"/>
  <c r="T56" i="19"/>
  <c r="T112" i="19" s="1"/>
  <c r="S56" i="19"/>
  <c r="S112" i="19" s="1"/>
  <c r="R56" i="19"/>
  <c r="R112" i="19" s="1"/>
  <c r="Q56" i="19"/>
  <c r="Q112" i="19" s="1"/>
  <c r="P56" i="19"/>
  <c r="P112" i="19" s="1"/>
  <c r="O56" i="19"/>
  <c r="O112" i="19" s="1"/>
  <c r="N56" i="19"/>
  <c r="N112" i="19" s="1"/>
  <c r="M56" i="19"/>
  <c r="M112" i="19" s="1"/>
  <c r="L56" i="19"/>
  <c r="L112" i="19" s="1"/>
  <c r="K56" i="19"/>
  <c r="K112" i="19" s="1"/>
  <c r="J56" i="19"/>
  <c r="J112" i="19" s="1"/>
  <c r="I56" i="19"/>
  <c r="I112" i="19" s="1"/>
  <c r="H56" i="19"/>
  <c r="H112" i="19" s="1"/>
  <c r="G56" i="19"/>
  <c r="G112" i="19" s="1"/>
  <c r="F56" i="19"/>
  <c r="F112" i="19" s="1"/>
  <c r="E56" i="19"/>
  <c r="E112" i="19" s="1"/>
  <c r="D56" i="19"/>
  <c r="D112" i="19" s="1"/>
  <c r="C56" i="19"/>
  <c r="C112" i="19" s="1"/>
  <c r="B56" i="19"/>
  <c r="B112" i="19" s="1"/>
  <c r="Y55" i="19"/>
  <c r="Y111" i="19" s="1"/>
  <c r="X55" i="19"/>
  <c r="X111" i="19" s="1"/>
  <c r="W55" i="19"/>
  <c r="W111" i="19" s="1"/>
  <c r="V55" i="19"/>
  <c r="V111" i="19" s="1"/>
  <c r="U55" i="19"/>
  <c r="U111" i="19" s="1"/>
  <c r="T55" i="19"/>
  <c r="T111" i="19" s="1"/>
  <c r="S55" i="19"/>
  <c r="S111" i="19" s="1"/>
  <c r="R55" i="19"/>
  <c r="R111" i="19" s="1"/>
  <c r="Q55" i="19"/>
  <c r="Q111" i="19" s="1"/>
  <c r="P55" i="19"/>
  <c r="P111" i="19" s="1"/>
  <c r="O55" i="19"/>
  <c r="O111" i="19" s="1"/>
  <c r="N55" i="19"/>
  <c r="N111" i="19" s="1"/>
  <c r="M55" i="19"/>
  <c r="M111" i="19" s="1"/>
  <c r="L55" i="19"/>
  <c r="L111" i="19" s="1"/>
  <c r="K55" i="19"/>
  <c r="K111" i="19" s="1"/>
  <c r="J55" i="19"/>
  <c r="J111" i="19" s="1"/>
  <c r="I55" i="19"/>
  <c r="I111" i="19" s="1"/>
  <c r="H55" i="19"/>
  <c r="H111" i="19" s="1"/>
  <c r="G55" i="19"/>
  <c r="G111" i="19" s="1"/>
  <c r="F55" i="19"/>
  <c r="F111" i="19" s="1"/>
  <c r="E55" i="19"/>
  <c r="E111" i="19" s="1"/>
  <c r="D55" i="19"/>
  <c r="D111" i="19" s="1"/>
  <c r="C55" i="19"/>
  <c r="C111" i="19" s="1"/>
  <c r="B55" i="19"/>
  <c r="B111" i="19" s="1"/>
  <c r="Y53" i="19"/>
  <c r="Y109" i="19" s="1"/>
  <c r="X53" i="19"/>
  <c r="X109" i="19" s="1"/>
  <c r="W53" i="19"/>
  <c r="W109" i="19" s="1"/>
  <c r="V53" i="19"/>
  <c r="V109" i="19" s="1"/>
  <c r="U53" i="19"/>
  <c r="U109" i="19" s="1"/>
  <c r="T53" i="19"/>
  <c r="T109" i="19" s="1"/>
  <c r="S53" i="19"/>
  <c r="S109" i="19" s="1"/>
  <c r="R53" i="19"/>
  <c r="R109" i="19" s="1"/>
  <c r="Q53" i="19"/>
  <c r="Q109" i="19" s="1"/>
  <c r="P53" i="19"/>
  <c r="P109" i="19" s="1"/>
  <c r="O53" i="19"/>
  <c r="O109" i="19" s="1"/>
  <c r="N53" i="19"/>
  <c r="N109" i="19" s="1"/>
  <c r="M53" i="19"/>
  <c r="M109" i="19" s="1"/>
  <c r="L53" i="19"/>
  <c r="L109" i="19" s="1"/>
  <c r="K53" i="19"/>
  <c r="K109" i="19" s="1"/>
  <c r="J53" i="19"/>
  <c r="J109" i="19" s="1"/>
  <c r="I53" i="19"/>
  <c r="I109" i="19" s="1"/>
  <c r="H53" i="19"/>
  <c r="H109" i="19" s="1"/>
  <c r="G53" i="19"/>
  <c r="G109" i="19" s="1"/>
  <c r="F53" i="19"/>
  <c r="F109" i="19" s="1"/>
  <c r="E53" i="19"/>
  <c r="E109" i="19" s="1"/>
  <c r="D53" i="19"/>
  <c r="D109" i="19" s="1"/>
  <c r="C53" i="19"/>
  <c r="C109" i="19" s="1"/>
  <c r="B53" i="19"/>
  <c r="B109" i="19" s="1"/>
  <c r="Y50" i="19"/>
  <c r="Y106" i="19" s="1"/>
  <c r="X50" i="19"/>
  <c r="X106" i="19" s="1"/>
  <c r="W50" i="19"/>
  <c r="W106" i="19" s="1"/>
  <c r="V50" i="19"/>
  <c r="V106" i="19" s="1"/>
  <c r="U50" i="19"/>
  <c r="U106" i="19" s="1"/>
  <c r="T50" i="19"/>
  <c r="T106" i="19" s="1"/>
  <c r="S50" i="19"/>
  <c r="S106" i="19" s="1"/>
  <c r="R50" i="19"/>
  <c r="R106" i="19" s="1"/>
  <c r="Q50" i="19"/>
  <c r="Q106" i="19" s="1"/>
  <c r="P50" i="19"/>
  <c r="P106" i="19" s="1"/>
  <c r="O50" i="19"/>
  <c r="O106" i="19" s="1"/>
  <c r="N50" i="19"/>
  <c r="N106" i="19" s="1"/>
  <c r="M50" i="19"/>
  <c r="M106" i="19" s="1"/>
  <c r="L50" i="19"/>
  <c r="L106" i="19" s="1"/>
  <c r="K50" i="19"/>
  <c r="K106" i="19" s="1"/>
  <c r="J50" i="19"/>
  <c r="J106" i="19" s="1"/>
  <c r="I50" i="19"/>
  <c r="I106" i="19" s="1"/>
  <c r="H50" i="19"/>
  <c r="H106" i="19" s="1"/>
  <c r="G50" i="19"/>
  <c r="G106" i="19" s="1"/>
  <c r="F50" i="19"/>
  <c r="F106" i="19" s="1"/>
  <c r="E50" i="19"/>
  <c r="E106" i="19" s="1"/>
  <c r="D50" i="19"/>
  <c r="D106" i="19" s="1"/>
  <c r="C50" i="19"/>
  <c r="C106" i="19" s="1"/>
  <c r="B50" i="19"/>
  <c r="B106" i="19" s="1"/>
  <c r="Y49" i="19"/>
  <c r="Y105" i="19" s="1"/>
  <c r="X49" i="19"/>
  <c r="X105" i="19" s="1"/>
  <c r="W49" i="19"/>
  <c r="W105" i="19" s="1"/>
  <c r="V49" i="19"/>
  <c r="V105" i="19" s="1"/>
  <c r="U49" i="19"/>
  <c r="U105" i="19" s="1"/>
  <c r="T49" i="19"/>
  <c r="T105" i="19" s="1"/>
  <c r="S49" i="19"/>
  <c r="S105" i="19" s="1"/>
  <c r="R49" i="19"/>
  <c r="R105" i="19" s="1"/>
  <c r="Q49" i="19"/>
  <c r="Q105" i="19" s="1"/>
  <c r="P49" i="19"/>
  <c r="P105" i="19" s="1"/>
  <c r="O49" i="19"/>
  <c r="O105" i="19" s="1"/>
  <c r="N49" i="19"/>
  <c r="N105" i="19" s="1"/>
  <c r="M49" i="19"/>
  <c r="M105" i="19" s="1"/>
  <c r="L49" i="19"/>
  <c r="L105" i="19" s="1"/>
  <c r="K49" i="19"/>
  <c r="K105" i="19" s="1"/>
  <c r="J49" i="19"/>
  <c r="J105" i="19" s="1"/>
  <c r="I49" i="19"/>
  <c r="I105" i="19" s="1"/>
  <c r="H49" i="19"/>
  <c r="H105" i="19" s="1"/>
  <c r="G49" i="19"/>
  <c r="G105" i="19" s="1"/>
  <c r="F49" i="19"/>
  <c r="F105" i="19" s="1"/>
  <c r="E49" i="19"/>
  <c r="E105" i="19" s="1"/>
  <c r="D49" i="19"/>
  <c r="D105" i="19" s="1"/>
  <c r="C49" i="19"/>
  <c r="C105" i="19" s="1"/>
  <c r="B49" i="19"/>
  <c r="B105" i="19" s="1"/>
  <c r="Y48" i="19"/>
  <c r="Y104" i="19" s="1"/>
  <c r="X48" i="19"/>
  <c r="X104" i="19" s="1"/>
  <c r="W48" i="19"/>
  <c r="W104" i="19" s="1"/>
  <c r="V48" i="19"/>
  <c r="V104" i="19" s="1"/>
  <c r="U48" i="19"/>
  <c r="U104" i="19" s="1"/>
  <c r="T48" i="19"/>
  <c r="T104" i="19" s="1"/>
  <c r="S48" i="19"/>
  <c r="S104" i="19" s="1"/>
  <c r="R48" i="19"/>
  <c r="R104" i="19" s="1"/>
  <c r="Q48" i="19"/>
  <c r="Q104" i="19" s="1"/>
  <c r="P48" i="19"/>
  <c r="P104" i="19" s="1"/>
  <c r="O48" i="19"/>
  <c r="O104" i="19" s="1"/>
  <c r="N48" i="19"/>
  <c r="N104" i="19" s="1"/>
  <c r="M48" i="19"/>
  <c r="M104" i="19" s="1"/>
  <c r="L48" i="19"/>
  <c r="L104" i="19" s="1"/>
  <c r="K48" i="19"/>
  <c r="K104" i="19" s="1"/>
  <c r="J48" i="19"/>
  <c r="J104" i="19" s="1"/>
  <c r="I48" i="19"/>
  <c r="I104" i="19" s="1"/>
  <c r="H48" i="19"/>
  <c r="H104" i="19" s="1"/>
  <c r="G48" i="19"/>
  <c r="G104" i="19" s="1"/>
  <c r="F48" i="19"/>
  <c r="F104" i="19" s="1"/>
  <c r="E48" i="19"/>
  <c r="E104" i="19" s="1"/>
  <c r="D48" i="19"/>
  <c r="D104" i="19" s="1"/>
  <c r="C48" i="19"/>
  <c r="C104" i="19" s="1"/>
  <c r="B48" i="19"/>
  <c r="B104" i="19" s="1"/>
  <c r="Y45" i="19"/>
  <c r="Y101" i="19" s="1"/>
  <c r="X45" i="19"/>
  <c r="X101" i="19" s="1"/>
  <c r="W45" i="19"/>
  <c r="W101" i="19" s="1"/>
  <c r="V45" i="19"/>
  <c r="V101" i="19" s="1"/>
  <c r="U45" i="19"/>
  <c r="U101" i="19" s="1"/>
  <c r="T45" i="19"/>
  <c r="T101" i="19" s="1"/>
  <c r="S45" i="19"/>
  <c r="S101" i="19" s="1"/>
  <c r="R45" i="19"/>
  <c r="R101" i="19" s="1"/>
  <c r="Q45" i="19"/>
  <c r="Q101" i="19" s="1"/>
  <c r="P45" i="19"/>
  <c r="P101" i="19" s="1"/>
  <c r="O45" i="19"/>
  <c r="O101" i="19" s="1"/>
  <c r="N45" i="19"/>
  <c r="N101" i="19" s="1"/>
  <c r="M45" i="19"/>
  <c r="M101" i="19" s="1"/>
  <c r="L45" i="19"/>
  <c r="L101" i="19" s="1"/>
  <c r="K45" i="19"/>
  <c r="K101" i="19" s="1"/>
  <c r="J45" i="19"/>
  <c r="J101" i="19" s="1"/>
  <c r="I45" i="19"/>
  <c r="H45" i="19"/>
  <c r="G45" i="19"/>
  <c r="F45" i="19"/>
  <c r="F101" i="19" s="1"/>
  <c r="E45" i="19"/>
  <c r="E101" i="19" s="1"/>
  <c r="D45" i="19"/>
  <c r="D101" i="19" s="1"/>
  <c r="C45" i="19"/>
  <c r="C101" i="19" s="1"/>
  <c r="B45" i="19"/>
  <c r="B101" i="19" s="1"/>
  <c r="Y62" i="19"/>
  <c r="Y118" i="19" s="1"/>
  <c r="X62" i="19"/>
  <c r="X118" i="19" s="1"/>
  <c r="W62" i="19"/>
  <c r="W118" i="19" s="1"/>
  <c r="V62" i="19"/>
  <c r="V118" i="19" s="1"/>
  <c r="U62" i="19"/>
  <c r="U118" i="19" s="1"/>
  <c r="T62" i="19"/>
  <c r="T118" i="19" s="1"/>
  <c r="S62" i="19"/>
  <c r="S118" i="19" s="1"/>
  <c r="R62" i="19"/>
  <c r="R118" i="19" s="1"/>
  <c r="Q62" i="19"/>
  <c r="Q118" i="19" s="1"/>
  <c r="P62" i="19"/>
  <c r="P118" i="19" s="1"/>
  <c r="O62" i="19"/>
  <c r="O118" i="19" s="1"/>
  <c r="N62" i="19"/>
  <c r="N118" i="19" s="1"/>
  <c r="M62" i="19"/>
  <c r="M118" i="19" s="1"/>
  <c r="L62" i="19"/>
  <c r="L118" i="19" s="1"/>
  <c r="K62" i="19"/>
  <c r="K118" i="19" s="1"/>
  <c r="J62" i="19"/>
  <c r="J118" i="19" s="1"/>
  <c r="I62" i="19"/>
  <c r="I118" i="19" s="1"/>
  <c r="H62" i="19"/>
  <c r="H118" i="19" s="1"/>
  <c r="G62" i="19"/>
  <c r="G118" i="19" s="1"/>
  <c r="F62" i="19"/>
  <c r="F118" i="19" s="1"/>
  <c r="E62" i="19"/>
  <c r="E118" i="19" s="1"/>
  <c r="D62" i="19"/>
  <c r="D118" i="19" s="1"/>
  <c r="C62" i="19"/>
  <c r="C118" i="19" s="1"/>
  <c r="B62" i="19"/>
  <c r="B118" i="19" s="1"/>
  <c r="Y61" i="19"/>
  <c r="Y117" i="19" s="1"/>
  <c r="X61" i="19"/>
  <c r="X117" i="19" s="1"/>
  <c r="W61" i="19"/>
  <c r="W117" i="19" s="1"/>
  <c r="V61" i="19"/>
  <c r="V117" i="19" s="1"/>
  <c r="U61" i="19"/>
  <c r="U117" i="19" s="1"/>
  <c r="T61" i="19"/>
  <c r="T117" i="19" s="1"/>
  <c r="S61" i="19"/>
  <c r="S117" i="19" s="1"/>
  <c r="R61" i="19"/>
  <c r="R117" i="19" s="1"/>
  <c r="Q61" i="19"/>
  <c r="Q117" i="19" s="1"/>
  <c r="P61" i="19"/>
  <c r="P117" i="19" s="1"/>
  <c r="O61" i="19"/>
  <c r="O117" i="19" s="1"/>
  <c r="N61" i="19"/>
  <c r="N117" i="19" s="1"/>
  <c r="M61" i="19"/>
  <c r="M117" i="19" s="1"/>
  <c r="L61" i="19"/>
  <c r="L117" i="19" s="1"/>
  <c r="K61" i="19"/>
  <c r="K117" i="19" s="1"/>
  <c r="J61" i="19"/>
  <c r="J117" i="19" s="1"/>
  <c r="I61" i="19"/>
  <c r="I117" i="19" s="1"/>
  <c r="H61" i="19"/>
  <c r="H117" i="19" s="1"/>
  <c r="G61" i="19"/>
  <c r="G117" i="19" s="1"/>
  <c r="F61" i="19"/>
  <c r="F117" i="19" s="1"/>
  <c r="E61" i="19"/>
  <c r="E117" i="19" s="1"/>
  <c r="D61" i="19"/>
  <c r="D117" i="19" s="1"/>
  <c r="C61" i="19"/>
  <c r="C117" i="19" s="1"/>
  <c r="B61" i="19"/>
  <c r="B117" i="19" s="1"/>
  <c r="Y60" i="19"/>
  <c r="Y116" i="19" s="1"/>
  <c r="B60" i="19"/>
  <c r="B116" i="19" s="1"/>
  <c r="Y64" i="19"/>
  <c r="Y120" i="19" s="1"/>
  <c r="W60" i="19"/>
  <c r="W116" i="19" s="1"/>
  <c r="X60" i="19"/>
  <c r="X116" i="19" s="1"/>
  <c r="Y58" i="19"/>
  <c r="Y114" i="19" s="1"/>
  <c r="V60" i="19"/>
  <c r="V116" i="19" s="1"/>
  <c r="U60" i="19"/>
  <c r="U116" i="19" s="1"/>
  <c r="T60" i="19"/>
  <c r="T116" i="19" s="1"/>
  <c r="S60" i="19"/>
  <c r="S116" i="19" s="1"/>
  <c r="R60" i="19"/>
  <c r="R116" i="19" s="1"/>
  <c r="Q60" i="19"/>
  <c r="Q116" i="19" s="1"/>
  <c r="P60" i="19"/>
  <c r="P116" i="19" s="1"/>
  <c r="O60" i="19"/>
  <c r="O116" i="19" s="1"/>
  <c r="N60" i="19"/>
  <c r="N116" i="19" s="1"/>
  <c r="M60" i="19"/>
  <c r="M116" i="19" s="1"/>
  <c r="L60" i="19"/>
  <c r="L116" i="19" s="1"/>
  <c r="K60" i="19"/>
  <c r="K116" i="19" s="1"/>
  <c r="J60" i="19"/>
  <c r="J116" i="19" s="1"/>
  <c r="I60" i="19"/>
  <c r="I116" i="19" s="1"/>
  <c r="H60" i="19"/>
  <c r="H116" i="19" s="1"/>
  <c r="G60" i="19"/>
  <c r="G116" i="19" s="1"/>
  <c r="F60" i="19"/>
  <c r="F116" i="19" s="1"/>
  <c r="E60" i="19"/>
  <c r="D60" i="19"/>
  <c r="C60" i="19"/>
  <c r="Y51" i="19"/>
  <c r="Y107" i="19" s="1"/>
  <c r="X51" i="19"/>
  <c r="X107" i="19" s="1"/>
  <c r="W51" i="19"/>
  <c r="W107" i="19" s="1"/>
  <c r="V51" i="19"/>
  <c r="V107" i="19" s="1"/>
  <c r="U51" i="19"/>
  <c r="U107" i="19" s="1"/>
  <c r="T51" i="19"/>
  <c r="T107" i="19" s="1"/>
  <c r="S51" i="19"/>
  <c r="S107" i="19" s="1"/>
  <c r="R51" i="19"/>
  <c r="R107" i="19" s="1"/>
  <c r="Q51" i="19"/>
  <c r="Q107" i="19" s="1"/>
  <c r="P51" i="19"/>
  <c r="P107" i="19" s="1"/>
  <c r="O51" i="19"/>
  <c r="O107" i="19" s="1"/>
  <c r="N51" i="19"/>
  <c r="N107" i="19" s="1"/>
  <c r="M51" i="19"/>
  <c r="M107" i="19" s="1"/>
  <c r="L51" i="19"/>
  <c r="L107" i="19" s="1"/>
  <c r="K51" i="19"/>
  <c r="K107" i="19" s="1"/>
  <c r="J51" i="19"/>
  <c r="J107" i="19" s="1"/>
  <c r="I51" i="19"/>
  <c r="I107" i="19" s="1"/>
  <c r="H51" i="19"/>
  <c r="H107" i="19" s="1"/>
  <c r="G51" i="19"/>
  <c r="G107" i="19" s="1"/>
  <c r="F51" i="19"/>
  <c r="F107" i="19" s="1"/>
  <c r="E51" i="19"/>
  <c r="E107" i="19" s="1"/>
  <c r="D51" i="19"/>
  <c r="D107" i="19" s="1"/>
  <c r="C51" i="19"/>
  <c r="C107" i="19" s="1"/>
  <c r="B51" i="19"/>
  <c r="B107" i="19" s="1"/>
  <c r="E116" i="19" l="1"/>
  <c r="D116" i="19"/>
  <c r="C116" i="19"/>
  <c r="I101" i="19"/>
  <c r="H101" i="19"/>
  <c r="G101" i="19"/>
  <c r="X64" i="19"/>
  <c r="X120" i="19" s="1"/>
  <c r="W64" i="19"/>
  <c r="W120" i="19" s="1"/>
  <c r="V64" i="19"/>
  <c r="V120" i="19" s="1"/>
  <c r="U64" i="19"/>
  <c r="U120" i="19" s="1"/>
  <c r="T64" i="19"/>
  <c r="T120" i="19" s="1"/>
  <c r="S64" i="19"/>
  <c r="S120" i="19" s="1"/>
  <c r="R64" i="19"/>
  <c r="R120" i="19" s="1"/>
  <c r="Q64" i="19"/>
  <c r="Q120" i="19" s="1"/>
  <c r="P64" i="19"/>
  <c r="P120" i="19" s="1"/>
  <c r="O64" i="19"/>
  <c r="O120" i="19" s="1"/>
  <c r="N64" i="19"/>
  <c r="N120" i="19" s="1"/>
  <c r="M64" i="19"/>
  <c r="M120" i="19" s="1"/>
  <c r="L64" i="19"/>
  <c r="L120" i="19" s="1"/>
  <c r="K64" i="19"/>
  <c r="K120" i="19" s="1"/>
  <c r="J64" i="19"/>
  <c r="J120" i="19" s="1"/>
  <c r="I64" i="19"/>
  <c r="I120" i="19" s="1"/>
  <c r="H64" i="19"/>
  <c r="H120" i="19" s="1"/>
  <c r="G64" i="19"/>
  <c r="G120" i="19" s="1"/>
  <c r="F64" i="19"/>
  <c r="F120" i="19" s="1"/>
  <c r="E64" i="19"/>
  <c r="E120" i="19" s="1"/>
  <c r="D64" i="19"/>
  <c r="D120" i="19" s="1"/>
  <c r="C64" i="19"/>
  <c r="C120" i="19" s="1"/>
  <c r="B64" i="19"/>
  <c r="B120" i="19" s="1"/>
  <c r="X58" i="19"/>
  <c r="X114" i="19" s="1"/>
  <c r="W58" i="19"/>
  <c r="W114" i="19" s="1"/>
  <c r="V58" i="19"/>
  <c r="V114" i="19" s="1"/>
  <c r="U58" i="19"/>
  <c r="U114" i="19" s="1"/>
  <c r="T58" i="19"/>
  <c r="T114" i="19" s="1"/>
  <c r="S58" i="19"/>
  <c r="S114" i="19" s="1"/>
  <c r="R58" i="19"/>
  <c r="R114" i="19" s="1"/>
  <c r="Q58" i="19"/>
  <c r="Q114" i="19" s="1"/>
  <c r="P58" i="19"/>
  <c r="P114" i="19" s="1"/>
  <c r="O58" i="19"/>
  <c r="O114" i="19" s="1"/>
  <c r="N58" i="19"/>
  <c r="N114" i="19" s="1"/>
  <c r="M58" i="19"/>
  <c r="M114" i="19" s="1"/>
  <c r="L58" i="19"/>
  <c r="L114" i="19" s="1"/>
  <c r="K58" i="19"/>
  <c r="K114" i="19" s="1"/>
  <c r="J58" i="19"/>
  <c r="J114" i="19" s="1"/>
  <c r="I58" i="19"/>
  <c r="I114" i="19" s="1"/>
  <c r="F58" i="19"/>
  <c r="F114" i="19" s="1"/>
  <c r="B58" i="19"/>
  <c r="B114" i="19" s="1"/>
  <c r="H58" i="19"/>
  <c r="H114" i="19" s="1"/>
  <c r="G58" i="19"/>
  <c r="G114" i="19" s="1"/>
  <c r="E58" i="19"/>
  <c r="E114" i="19" s="1"/>
  <c r="D58" i="19"/>
  <c r="D114" i="19" s="1"/>
  <c r="C58" i="19"/>
  <c r="C114" i="19" s="1"/>
  <c r="Y52" i="19"/>
  <c r="Y108" i="19" s="1"/>
  <c r="X52" i="19"/>
  <c r="X108" i="19" s="1"/>
  <c r="W52" i="19"/>
  <c r="W108" i="19" s="1"/>
  <c r="V52" i="19"/>
  <c r="V108" i="19" s="1"/>
  <c r="U52" i="19"/>
  <c r="U108" i="19" s="1"/>
  <c r="T52" i="19"/>
  <c r="T108" i="19" s="1"/>
  <c r="S52" i="19"/>
  <c r="S108" i="19" s="1"/>
  <c r="R52" i="19"/>
  <c r="R108" i="19" s="1"/>
  <c r="Q52" i="19"/>
  <c r="Q108" i="19" s="1"/>
  <c r="P52" i="19"/>
  <c r="P108" i="19" s="1"/>
  <c r="O52" i="19"/>
  <c r="O108" i="19" s="1"/>
  <c r="N52" i="19"/>
  <c r="N108" i="19" s="1"/>
  <c r="M52" i="19"/>
  <c r="M108" i="19" s="1"/>
  <c r="L52" i="19"/>
  <c r="L108" i="19" s="1"/>
  <c r="K52" i="19"/>
  <c r="K108" i="19" s="1"/>
  <c r="J52" i="19"/>
  <c r="J108" i="19" s="1"/>
  <c r="I52" i="19"/>
  <c r="I108" i="19" s="1"/>
  <c r="H52" i="19"/>
  <c r="H108" i="19" s="1"/>
  <c r="G52" i="19"/>
  <c r="G108" i="19" s="1"/>
  <c r="F52" i="19"/>
  <c r="F108" i="19" s="1"/>
  <c r="E52" i="19"/>
  <c r="E108" i="19" s="1"/>
  <c r="D52" i="19"/>
  <c r="D108" i="19" s="1"/>
  <c r="C52" i="19"/>
  <c r="C108" i="19" s="1"/>
  <c r="B52" i="19"/>
  <c r="B108" i="19" s="1"/>
  <c r="Y47" i="19"/>
  <c r="Y103" i="19" s="1"/>
  <c r="X47" i="19"/>
  <c r="X103" i="19" s="1"/>
  <c r="W47" i="19"/>
  <c r="W103" i="19" s="1"/>
  <c r="V47" i="19"/>
  <c r="V103" i="19" s="1"/>
  <c r="U47" i="19"/>
  <c r="U103" i="19" s="1"/>
  <c r="T47" i="19"/>
  <c r="T103" i="19" s="1"/>
  <c r="S47" i="19"/>
  <c r="S103" i="19" s="1"/>
  <c r="R47" i="19"/>
  <c r="R103" i="19" s="1"/>
  <c r="Q47" i="19"/>
  <c r="Q103" i="19" s="1"/>
  <c r="P47" i="19"/>
  <c r="P103" i="19" s="1"/>
  <c r="O47" i="19"/>
  <c r="O103" i="19" s="1"/>
  <c r="N47" i="19"/>
  <c r="N103" i="19" s="1"/>
  <c r="M47" i="19"/>
  <c r="M103" i="19" s="1"/>
  <c r="L47" i="19"/>
  <c r="L103" i="19" s="1"/>
  <c r="K47" i="19"/>
  <c r="K103" i="19" s="1"/>
  <c r="J47" i="19"/>
  <c r="J103" i="19" s="1"/>
  <c r="I47" i="19"/>
  <c r="I103" i="19" s="1"/>
  <c r="H47" i="19"/>
  <c r="H103" i="19" s="1"/>
  <c r="G47" i="19"/>
  <c r="G103" i="19" s="1"/>
  <c r="F47" i="19"/>
  <c r="F103" i="19" s="1"/>
  <c r="E47" i="19"/>
  <c r="E103" i="19" s="1"/>
  <c r="D47" i="19"/>
  <c r="D103" i="19" s="1"/>
  <c r="C47" i="19"/>
  <c r="C103" i="19" s="1"/>
  <c r="B47" i="19"/>
  <c r="B103" i="19" s="1"/>
  <c r="Y46" i="19"/>
  <c r="Y102" i="19" s="1"/>
  <c r="X46" i="19"/>
  <c r="X102" i="19" s="1"/>
  <c r="W46" i="19"/>
  <c r="W102" i="19" s="1"/>
  <c r="V46" i="19"/>
  <c r="V102" i="19" s="1"/>
  <c r="T46" i="19"/>
  <c r="T102" i="19" s="1"/>
  <c r="C46" i="19"/>
  <c r="C102" i="19" s="1"/>
  <c r="U46" i="19"/>
  <c r="U102" i="19" s="1"/>
  <c r="S46" i="19"/>
  <c r="S102" i="19" s="1"/>
  <c r="R46" i="19"/>
  <c r="R102" i="19" s="1"/>
  <c r="Q46" i="19"/>
  <c r="Q102" i="19" s="1"/>
  <c r="P46" i="19"/>
  <c r="P102" i="19" s="1"/>
  <c r="O46" i="19"/>
  <c r="O102" i="19" s="1"/>
  <c r="N46" i="19"/>
  <c r="N102" i="19" s="1"/>
  <c r="M46" i="19"/>
  <c r="M102" i="19" s="1"/>
  <c r="L46" i="19"/>
  <c r="L102" i="19" s="1"/>
  <c r="K46" i="19"/>
  <c r="K102" i="19" s="1"/>
  <c r="J46" i="19"/>
  <c r="J102" i="19" s="1"/>
  <c r="I46" i="19"/>
  <c r="I102" i="19" s="1"/>
  <c r="H46" i="19"/>
  <c r="H102" i="19" s="1"/>
  <c r="G46" i="19"/>
  <c r="G102" i="19" s="1"/>
  <c r="F46" i="19"/>
  <c r="F102" i="19" s="1"/>
  <c r="E46" i="19"/>
  <c r="E102" i="19" s="1"/>
  <c r="D46" i="19"/>
  <c r="D102" i="19" s="1"/>
  <c r="B46" i="19"/>
  <c r="B102" i="19" s="1"/>
  <c r="V17" i="12" l="1"/>
  <c r="V16" i="12"/>
  <c r="S66" i="12"/>
  <c r="R61" i="21"/>
  <c r="P61" i="21"/>
  <c r="T66" i="12"/>
  <c r="U66" i="12"/>
  <c r="R66" i="12"/>
  <c r="I21" i="9" l="1"/>
  <c r="O21" i="9" s="1"/>
  <c r="J46" i="9" s="1"/>
  <c r="V66" i="12"/>
  <c r="I18" i="9" l="1"/>
  <c r="I24" i="9" s="1"/>
  <c r="I25" i="9" l="1"/>
  <c r="O18" i="9"/>
  <c r="O24" i="9" l="1"/>
  <c r="O25" i="9" s="1"/>
  <c r="F47" i="9" s="1"/>
  <c r="G46" i="9"/>
  <c r="H34" i="9" l="1"/>
  <c r="H38" i="9" s="1"/>
  <c r="H36" i="9" l="1"/>
</calcChain>
</file>

<file path=xl/sharedStrings.xml><?xml version="1.0" encoding="utf-8"?>
<sst xmlns="http://schemas.openxmlformats.org/spreadsheetml/2006/main" count="583" uniqueCount="273">
  <si>
    <t>2.1</t>
  </si>
  <si>
    <t>2.2</t>
  </si>
  <si>
    <t>Indiqui els noms de les societats que conforma el grup empresarial:</t>
  </si>
  <si>
    <t>C.I.F. / N.I.F.</t>
  </si>
  <si>
    <t>Nom societat</t>
  </si>
  <si>
    <t>Societat principal?</t>
  </si>
  <si>
    <t>-</t>
  </si>
  <si>
    <t>TOTAL</t>
  </si>
  <si>
    <t>B7 (l)</t>
  </si>
  <si>
    <t>E5 (l)</t>
  </si>
  <si>
    <t>CH4</t>
  </si>
  <si>
    <t>N2O</t>
  </si>
  <si>
    <t>Espècie</t>
  </si>
  <si>
    <t>Rebrotadora/No rebrotadora</t>
  </si>
  <si>
    <t>Rebrotadora</t>
  </si>
  <si>
    <t>No rebrotadora</t>
  </si>
  <si>
    <t>%</t>
  </si>
  <si>
    <t>BST-5</t>
  </si>
  <si>
    <t>Bb&gt;2-5</t>
  </si>
  <si>
    <t>Bt-5</t>
  </si>
  <si>
    <t>Bb&lt;2iBf-5</t>
  </si>
  <si>
    <t>BST-10</t>
  </si>
  <si>
    <t>Bt-10</t>
  </si>
  <si>
    <t>Bb&gt;2-10</t>
  </si>
  <si>
    <t>Bb&lt;2iBf-10</t>
  </si>
  <si>
    <t>BST-15</t>
  </si>
  <si>
    <t>Bt-15</t>
  </si>
  <si>
    <t>Bb&gt;2-15</t>
  </si>
  <si>
    <t>Bb&lt;2iBf-15</t>
  </si>
  <si>
    <t>BST-20</t>
  </si>
  <si>
    <t>Bt-20</t>
  </si>
  <si>
    <t>Bb&gt;2-20</t>
  </si>
  <si>
    <t>Bb&lt;2iBf-20</t>
  </si>
  <si>
    <t>BST-25</t>
  </si>
  <si>
    <t>Bt-25</t>
  </si>
  <si>
    <t>Bb&gt;2-25</t>
  </si>
  <si>
    <t>Bb&lt;2iBf-25</t>
  </si>
  <si>
    <t>BST-30</t>
  </si>
  <si>
    <t>Bt-30</t>
  </si>
  <si>
    <t>Bb&gt;2-30</t>
  </si>
  <si>
    <t>Bb&lt;2iBf-30</t>
  </si>
  <si>
    <t>UD</t>
  </si>
  <si>
    <t>Fe CH4 (t CH4/t MS quemada)</t>
  </si>
  <si>
    <t>Fe N2O (t N2O/t MS quemada)</t>
  </si>
  <si>
    <t>GEH</t>
  </si>
  <si>
    <t>kg CO2 eq/kg CH4</t>
  </si>
  <si>
    <t>kg CO2 eq/kg N2O</t>
  </si>
  <si>
    <t>Factor de retorn (%)</t>
  </si>
  <si>
    <t>2.3</t>
  </si>
  <si>
    <t>2.4</t>
  </si>
  <si>
    <t>2.5</t>
  </si>
  <si>
    <t>Any primera intervenció</t>
  </si>
  <si>
    <t>ID BST</t>
  </si>
  <si>
    <t>ID Bb&lt;2iBf</t>
  </si>
  <si>
    <t>ID Bb&gt;2</t>
  </si>
  <si>
    <t>ID Bt</t>
  </si>
  <si>
    <t>ha</t>
  </si>
  <si>
    <t>km</t>
  </si>
  <si>
    <t>clot</t>
  </si>
  <si>
    <t>l</t>
  </si>
  <si>
    <t>FE CO2 (kg/ud)</t>
  </si>
  <si>
    <t>FE CH4 (kg/ud)</t>
  </si>
  <si>
    <t>FE N2O (kg/ud)</t>
  </si>
  <si>
    <t>t CO2 eq</t>
  </si>
  <si>
    <t>FE genèric (t CO2 eq)</t>
  </si>
  <si>
    <t>C.I.F. / N.I.F</t>
  </si>
  <si>
    <t>1.1</t>
  </si>
  <si>
    <t>ID rodal</t>
  </si>
  <si>
    <r>
      <t>kg CO</t>
    </r>
    <r>
      <rPr>
        <b/>
        <vertAlign val="subscript"/>
        <sz val="11"/>
        <color rgb="FF000000"/>
        <rFont val="Arial Narrow"/>
        <family val="2"/>
        <charset val="1"/>
      </rPr>
      <t>2</t>
    </r>
  </si>
  <si>
    <r>
      <t>g CH</t>
    </r>
    <r>
      <rPr>
        <b/>
        <vertAlign val="subscript"/>
        <sz val="11"/>
        <color rgb="FF000000"/>
        <rFont val="Arial Narrow"/>
        <family val="2"/>
        <charset val="1"/>
      </rPr>
      <t>4</t>
    </r>
  </si>
  <si>
    <r>
      <t>g N</t>
    </r>
    <r>
      <rPr>
        <b/>
        <vertAlign val="subscript"/>
        <sz val="11"/>
        <color rgb="FF000000"/>
        <rFont val="Arial Narrow"/>
        <family val="2"/>
        <charset val="1"/>
      </rPr>
      <t>2</t>
    </r>
    <r>
      <rPr>
        <b/>
        <sz val="11"/>
        <color rgb="FF000000"/>
        <rFont val="Arial Narrow"/>
        <family val="2"/>
        <charset val="1"/>
      </rPr>
      <t>O</t>
    </r>
  </si>
  <si>
    <r>
      <t>t CO</t>
    </r>
    <r>
      <rPr>
        <b/>
        <vertAlign val="subscript"/>
        <sz val="11"/>
        <color rgb="FF000000"/>
        <rFont val="Arial Narrow"/>
        <family val="2"/>
        <charset val="1"/>
      </rPr>
      <t>2</t>
    </r>
    <r>
      <rPr>
        <b/>
        <sz val="11"/>
        <color rgb="FF000000"/>
        <rFont val="Arial Narrow"/>
        <family val="2"/>
        <charset val="1"/>
      </rPr>
      <t xml:space="preserve"> eq</t>
    </r>
  </si>
  <si>
    <r>
      <t>tn CO</t>
    </r>
    <r>
      <rPr>
        <b/>
        <vertAlign val="subscript"/>
        <sz val="11"/>
        <color rgb="FF000000"/>
        <rFont val="Arial Narrow"/>
        <family val="2"/>
        <charset val="1"/>
      </rPr>
      <t>2</t>
    </r>
    <r>
      <rPr>
        <b/>
        <sz val="11"/>
        <color rgb="FF000000"/>
        <rFont val="Arial Narrow"/>
        <family val="2"/>
        <charset val="1"/>
      </rPr>
      <t>eq</t>
    </r>
  </si>
  <si>
    <t>Rebrotadora /
No rebrotadora</t>
  </si>
  <si>
    <t>CALCULADORA BALEAR DE LAS ABSORCIONES DE CARBONO EN REPOBLACIONES FORESTALES (PLANTACIONES Y ACTUACIONES PARA GARANTIZAR LA REGENERACIÓN NATURAL)</t>
  </si>
  <si>
    <t>ÍNDICE</t>
  </si>
  <si>
    <t>Para hacer un uso adecuado de la calculadora, rellene las pestañas en orden.</t>
  </si>
  <si>
    <t>Casillas a rellenar por el usuario</t>
  </si>
  <si>
    <t>Casillas bloqueadas que se autocompletan</t>
  </si>
  <si>
    <t>Datos generales del proyecto</t>
  </si>
  <si>
    <t xml:space="preserve">Cápsula 1.1: Absorciones de los árboles plantados o procedentes de regeneración natural    </t>
  </si>
  <si>
    <t>Cápsula 2.2: Emisiones de vehículos y maquinaria</t>
  </si>
  <si>
    <t>Cápsula 2.4: Emisiones de los productos madereros</t>
  </si>
  <si>
    <t>Resultados de absorciones del proyecto</t>
  </si>
  <si>
    <t>Leyenda de tipos de casillas:</t>
  </si>
  <si>
    <t>1. Datos del proyecto</t>
  </si>
  <si>
    <t>2.1. Cápsula 1.1: Absorciones de los árboles</t>
  </si>
  <si>
    <t>2.3. Cápsula 2.2: Emisiones de vehículos y maquinaria</t>
  </si>
  <si>
    <t>2.5. Cápsula 2.4: Emisiones de los productos madereros</t>
  </si>
  <si>
    <t>3. Resultados de absorciones del proyecto</t>
  </si>
  <si>
    <t xml:space="preserve">                                                                        DATOS GENERALES DEL PROYECTO                                                                            </t>
  </si>
  <si>
    <t>Versión 2026.1 de la Calculadora balear de las absorciones de carbono en repoblaciones forestales (5 de febrero de 2026).</t>
  </si>
  <si>
    <r>
      <t xml:space="preserve">Los </t>
    </r>
    <r>
      <rPr>
        <b/>
        <sz val="11"/>
        <color rgb="FF000000"/>
        <rFont val="Arial Narrow"/>
        <family val="2"/>
      </rPr>
      <t>reservorios de carbono</t>
    </r>
    <r>
      <rPr>
        <sz val="11"/>
        <color rgb="FF000000"/>
        <rFont val="Arial Narrow"/>
        <family val="2"/>
      </rPr>
      <t xml:space="preserve"> considerados en el marco de este tipo de proyectos son: 
- Biomasa total del árbol (BT) = biomasa aérea total (BAT)+ biomasa subterránea total (BST)
- Biomasa aérea total (BAT) = biomasa del tronco (Bt) + biomasa de las ramas (Bb) + biomasa de las hojas (Bf)
- Biomasa subterránea total (BST) = biomasa de las raíces (Br)
- Carbono orgánico en el suelo (COS) = carbono contenido en la materia orgánica del suelo</t>
    </r>
  </si>
  <si>
    <t>Título del proyecto</t>
  </si>
  <si>
    <t>Promotor del proyecto</t>
  </si>
  <si>
    <t>Isla</t>
  </si>
  <si>
    <t>Municipio</t>
  </si>
  <si>
    <t>Localidad</t>
  </si>
  <si>
    <t>Referencia catastral</t>
  </si>
  <si>
    <t>Superficie de actuación (ha)</t>
  </si>
  <si>
    <t>Año de plantación / 
Año de regeneración natural</t>
  </si>
  <si>
    <t>Año de la primera intervención</t>
  </si>
  <si>
    <t>2.3. Càpsula 2.2: Emisiones de vehículos y maquinaria</t>
  </si>
  <si>
    <t xml:space="preserve">                                                                       CÁPSULA 1.1: ABSORCIONES DE LOS ÁRBOLES PLANTADOS O PROCEDENTES DE REGENERACIÓN NATURAL                                                                             </t>
  </si>
  <si>
    <r>
      <t xml:space="preserve">Esta cápsula de cálculo cuantifica el </t>
    </r>
    <r>
      <rPr>
        <b/>
        <sz val="11"/>
        <rFont val="Arial Narrow"/>
        <family val="2"/>
      </rPr>
      <t>carbono total que fijan los árboles en su biomasa aérea y subterránea</t>
    </r>
    <r>
      <rPr>
        <sz val="11"/>
        <rFont val="Arial Narrow"/>
        <family val="2"/>
      </rPr>
      <t xml:space="preserve"> con su crecimiento desde el momento de la plantación o regeneración natural hasta que se aplica la primera intervención. </t>
    </r>
  </si>
  <si>
    <t>Especie a plantar / 
a regenerar de forma natural</t>
  </si>
  <si>
    <t>Año de plantación /
regeneración</t>
  </si>
  <si>
    <t>Años de permanencia</t>
  </si>
  <si>
    <t>Nº de pies a plantar / a regenerar naturalmente</t>
  </si>
  <si>
    <t>Absorciones acumuladas</t>
  </si>
  <si>
    <r>
      <t>kg CO</t>
    </r>
    <r>
      <rPr>
        <b/>
        <vertAlign val="subscript"/>
        <sz val="11"/>
        <rFont val="Arial Narrow"/>
        <family val="2"/>
      </rPr>
      <t>2</t>
    </r>
    <r>
      <rPr>
        <b/>
        <sz val="11"/>
        <rFont val="Arial Narrow"/>
        <family val="2"/>
        <charset val="1"/>
      </rPr>
      <t>/pie</t>
    </r>
  </si>
  <si>
    <r>
      <t>kg CO</t>
    </r>
    <r>
      <rPr>
        <b/>
        <vertAlign val="subscript"/>
        <sz val="11"/>
        <rFont val="Arial Narrow"/>
        <family val="2"/>
      </rPr>
      <t>2</t>
    </r>
    <r>
      <rPr>
        <b/>
        <sz val="11"/>
        <rFont val="Arial Narrow"/>
        <family val="2"/>
        <charset val="1"/>
      </rPr>
      <t xml:space="preserve"> totales</t>
    </r>
  </si>
  <si>
    <r>
      <rPr>
        <b/>
        <sz val="10"/>
        <color theme="1"/>
        <rFont val="Arial Narrow"/>
        <family val="2"/>
      </rPr>
      <t>Aclaración:</t>
    </r>
    <r>
      <rPr>
        <sz val="10"/>
        <color theme="1"/>
        <rFont val="Arial Narrow"/>
        <family val="2"/>
      </rPr>
      <t xml:space="preserve">
1. Indicar las especies a plantar o a regenerar de forma natural en cada uno de los rodales.
2. Indicar los años de permanencia del proyecto (5, 10, 15, 20, 25 o 30), los cuales determinarán el año de la primera intervención que la masa requiera. La primera intervención, además de cumplir con cualquier objetivo específico que se le atribuya (absorción de carbono, producción de madera, etc.), tiene que garantizar una masa resistente a los incendios forestales para asegurar su persistencia.
3. Indicar el número de pies de cada especie a plantar o a regenerar de forma natural en cada uno de los rodales.</t>
    </r>
  </si>
  <si>
    <r>
      <t>CÁPSULA 2.1: EMISIONES DE CO</t>
    </r>
    <r>
      <rPr>
        <b/>
        <vertAlign val="subscript"/>
        <sz val="17"/>
        <color rgb="FFFFFFFF"/>
        <rFont val="Arial Narrow"/>
        <family val="2"/>
      </rPr>
      <t>2</t>
    </r>
    <r>
      <rPr>
        <b/>
        <sz val="17"/>
        <color rgb="FFFFFFFF"/>
        <rFont val="Arial Narrow"/>
        <family val="2"/>
        <charset val="1"/>
      </rPr>
      <t xml:space="preserve"> POR DESCOMPOSICIÓN Y QUEMA DE RESTOS DE CORTA Y RAÍCES MUERTAS</t>
    </r>
  </si>
  <si>
    <t>2.2. Cápsula 2.1: Emisiones de CO2 por descomposición y quema</t>
  </si>
  <si>
    <t>Especie a intervenir</t>
  </si>
  <si>
    <t>Nº de pies a extraer</t>
  </si>
  <si>
    <t>Estado raíces 
post-intervención</t>
  </si>
  <si>
    <t>Destino de ramas &gt;2 cm</t>
  </si>
  <si>
    <t>Destino del tronco</t>
  </si>
  <si>
    <r>
      <t>Emisiones raíces (kg CO</t>
    </r>
    <r>
      <rPr>
        <b/>
        <vertAlign val="subscript"/>
        <sz val="11"/>
        <rFont val="Arial Narrow"/>
        <family val="2"/>
      </rPr>
      <t>2</t>
    </r>
    <r>
      <rPr>
        <b/>
        <sz val="11"/>
        <rFont val="Arial Narrow"/>
        <family val="2"/>
        <charset val="1"/>
      </rPr>
      <t>)</t>
    </r>
  </si>
  <si>
    <r>
      <t>Emisiones hojas y ramas &lt;2 cm (kg CO</t>
    </r>
    <r>
      <rPr>
        <b/>
        <vertAlign val="subscript"/>
        <sz val="11"/>
        <rFont val="Arial Narrow"/>
        <family val="2"/>
      </rPr>
      <t>2</t>
    </r>
    <r>
      <rPr>
        <b/>
        <sz val="11"/>
        <rFont val="Arial Narrow"/>
        <family val="2"/>
        <charset val="1"/>
      </rPr>
      <t>)</t>
    </r>
  </si>
  <si>
    <r>
      <t>Emisiones ramas &gt;2 cm 
(kg CO</t>
    </r>
    <r>
      <rPr>
        <b/>
        <vertAlign val="subscript"/>
        <sz val="11"/>
        <rFont val="Arial Narrow"/>
        <family val="2"/>
      </rPr>
      <t>2</t>
    </r>
    <r>
      <rPr>
        <b/>
        <sz val="11"/>
        <rFont val="Arial Narrow"/>
        <family val="2"/>
        <charset val="1"/>
      </rPr>
      <t>)</t>
    </r>
  </si>
  <si>
    <r>
      <t>Emisiones tronco (kg CO</t>
    </r>
    <r>
      <rPr>
        <b/>
        <vertAlign val="subscript"/>
        <sz val="11"/>
        <rFont val="Arial Narrow"/>
        <family val="2"/>
      </rPr>
      <t>2</t>
    </r>
    <r>
      <rPr>
        <b/>
        <sz val="11"/>
        <rFont val="Arial Narrow"/>
        <family val="2"/>
        <charset val="1"/>
      </rPr>
      <t>)</t>
    </r>
  </si>
  <si>
    <r>
      <t>Emisiones totales  restos de corta (kg CO</t>
    </r>
    <r>
      <rPr>
        <b/>
        <vertAlign val="subscript"/>
        <sz val="11"/>
        <rFont val="Arial Narrow"/>
        <family val="2"/>
      </rPr>
      <t>2</t>
    </r>
    <r>
      <rPr>
        <b/>
        <sz val="11"/>
        <rFont val="Arial Narrow"/>
        <family val="2"/>
        <charset val="1"/>
      </rPr>
      <t>)</t>
    </r>
  </si>
  <si>
    <r>
      <t xml:space="preserve">Esta cápsula de càlculo cuantifica las </t>
    </r>
    <r>
      <rPr>
        <b/>
        <sz val="11"/>
        <rFont val="Arial Narrow"/>
        <family val="2"/>
        <charset val="1"/>
      </rPr>
      <t xml:space="preserve">emisiones </t>
    </r>
    <r>
      <rPr>
        <sz val="11"/>
        <rFont val="Arial Narrow"/>
        <family val="2"/>
        <charset val="1"/>
      </rPr>
      <t>de CO</t>
    </r>
    <r>
      <rPr>
        <vertAlign val="subscript"/>
        <sz val="11"/>
        <rFont val="Arial Narrow"/>
        <family val="2"/>
      </rPr>
      <t>2</t>
    </r>
    <r>
      <rPr>
        <sz val="11"/>
        <rFont val="Arial Narrow"/>
        <family val="2"/>
        <charset val="1"/>
      </rPr>
      <t xml:space="preserve"> derivadas </t>
    </r>
    <r>
      <rPr>
        <b/>
        <sz val="11"/>
        <rFont val="Arial Narrow"/>
        <family val="2"/>
        <charset val="1"/>
      </rPr>
      <t>del consumo de combustibles en vehículos y maquinaria</t>
    </r>
    <r>
      <rPr>
        <sz val="11"/>
        <rFont val="Arial Narrow"/>
        <family val="2"/>
        <charset val="1"/>
      </rPr>
      <t xml:space="preserve">  para la ejecución de los trabajos silvícolas y transporte de planta o de productos en la industria. Hace referencia a las toneladas de CO</t>
    </r>
    <r>
      <rPr>
        <vertAlign val="subscript"/>
        <sz val="11"/>
        <rFont val="Arial Narrow"/>
        <family val="2"/>
      </rPr>
      <t xml:space="preserve">2 </t>
    </r>
    <r>
      <rPr>
        <sz val="11"/>
        <rFont val="Arial Narrow"/>
        <family val="2"/>
        <charset val="1"/>
      </rPr>
      <t>equivalentes derivadas, especialmente, de la emisión de N</t>
    </r>
    <r>
      <rPr>
        <vertAlign val="subscript"/>
        <sz val="11"/>
        <rFont val="Arial Narrow"/>
        <family val="2"/>
      </rPr>
      <t>2</t>
    </r>
    <r>
      <rPr>
        <sz val="11"/>
        <rFont val="Arial Narrow"/>
        <family val="2"/>
        <charset val="1"/>
      </rPr>
      <t>O, CH</t>
    </r>
    <r>
      <rPr>
        <vertAlign val="subscript"/>
        <sz val="11"/>
        <rFont val="Arial Narrow"/>
        <family val="2"/>
      </rPr>
      <t>4</t>
    </r>
    <r>
      <rPr>
        <sz val="11"/>
        <rFont val="Arial Narrow"/>
        <family val="2"/>
        <charset val="1"/>
      </rPr>
      <t xml:space="preserve"> y/o CO</t>
    </r>
    <r>
      <rPr>
        <vertAlign val="subscript"/>
        <sz val="11"/>
        <rFont val="Arial Narrow"/>
        <family val="2"/>
      </rPr>
      <t>2</t>
    </r>
    <r>
      <rPr>
        <sz val="11"/>
        <rFont val="Arial Narrow"/>
        <family val="2"/>
        <charset val="1"/>
      </rPr>
      <t xml:space="preserve">. </t>
    </r>
  </si>
  <si>
    <t>Tipo de tratamiento</t>
  </si>
  <si>
    <t>Indicador (superficie, combustible, etc.)</t>
  </si>
  <si>
    <t>Cantidad</t>
  </si>
  <si>
    <t>Unidad (ud)</t>
  </si>
  <si>
    <r>
      <t>Emisiones de CO</t>
    </r>
    <r>
      <rPr>
        <b/>
        <vertAlign val="subscript"/>
        <sz val="11"/>
        <rFont val="Arial Narrow"/>
        <family val="2"/>
      </rPr>
      <t>2</t>
    </r>
    <r>
      <rPr>
        <b/>
        <sz val="11"/>
        <rFont val="Arial Narrow"/>
        <family val="2"/>
        <charset val="1"/>
      </rPr>
      <t xml:space="preserve"> 
(kg CO</t>
    </r>
    <r>
      <rPr>
        <b/>
        <vertAlign val="subscript"/>
        <sz val="11"/>
        <rFont val="Arial Narrow"/>
        <family val="2"/>
      </rPr>
      <t>2</t>
    </r>
    <r>
      <rPr>
        <b/>
        <sz val="11"/>
        <rFont val="Arial Narrow"/>
        <family val="2"/>
        <charset val="1"/>
      </rPr>
      <t>)</t>
    </r>
  </si>
  <si>
    <r>
      <t>Emisiones de CH</t>
    </r>
    <r>
      <rPr>
        <b/>
        <vertAlign val="subscript"/>
        <sz val="11"/>
        <rFont val="Arial Narrow"/>
        <family val="2"/>
      </rPr>
      <t>4</t>
    </r>
    <r>
      <rPr>
        <b/>
        <sz val="11"/>
        <rFont val="Arial Narrow"/>
        <family val="2"/>
        <charset val="1"/>
      </rPr>
      <t xml:space="preserve"> 
(g CH</t>
    </r>
    <r>
      <rPr>
        <b/>
        <vertAlign val="subscript"/>
        <sz val="11"/>
        <rFont val="Arial Narrow"/>
        <family val="2"/>
      </rPr>
      <t>4</t>
    </r>
    <r>
      <rPr>
        <b/>
        <sz val="11"/>
        <rFont val="Arial Narrow"/>
        <family val="2"/>
        <charset val="1"/>
      </rPr>
      <t>)</t>
    </r>
  </si>
  <si>
    <r>
      <t>Emisiones de N</t>
    </r>
    <r>
      <rPr>
        <b/>
        <vertAlign val="subscript"/>
        <sz val="11"/>
        <rFont val="Arial Narrow"/>
        <family val="2"/>
      </rPr>
      <t>2</t>
    </r>
    <r>
      <rPr>
        <b/>
        <sz val="11"/>
        <rFont val="Arial Narrow"/>
        <family val="2"/>
        <charset val="1"/>
      </rPr>
      <t>O 
(g N</t>
    </r>
    <r>
      <rPr>
        <b/>
        <vertAlign val="subscript"/>
        <sz val="11"/>
        <rFont val="Arial Narrow"/>
        <family val="2"/>
      </rPr>
      <t>2</t>
    </r>
    <r>
      <rPr>
        <b/>
        <sz val="11"/>
        <rFont val="Arial Narrow"/>
        <family val="2"/>
        <charset val="1"/>
      </rPr>
      <t>O)</t>
    </r>
  </si>
  <si>
    <r>
      <t>Emisiones totales
(kg CO</t>
    </r>
    <r>
      <rPr>
        <b/>
        <vertAlign val="subscript"/>
        <sz val="11"/>
        <rFont val="Arial Narrow"/>
        <family val="2"/>
      </rPr>
      <t>2</t>
    </r>
    <r>
      <rPr>
        <b/>
        <sz val="11"/>
        <rFont val="Arial Narrow"/>
        <family val="2"/>
        <charset val="1"/>
      </rPr>
      <t xml:space="preserve"> eq)</t>
    </r>
  </si>
  <si>
    <r>
      <rPr>
        <b/>
        <sz val="10"/>
        <rFont val="Arial Narrow"/>
        <family val="2"/>
      </rPr>
      <t>Aclaración:</t>
    </r>
    <r>
      <rPr>
        <sz val="10"/>
        <rFont val="Arial Narrow"/>
        <family val="2"/>
        <charset val="1"/>
      </rPr>
      <t xml:space="preserve">
1. Indicar los tipos de tratamientos/trabajos que se aplicarán a cada uno de los rodales y que supondrán unas emisiones de gases de efecto invernadero.
2. Indicar la cantidad, como por ejemplo hectáreas, de cada uno de los tratamientos/trabajos realizados.</t>
    </r>
  </si>
  <si>
    <t xml:space="preserve">                                          CÁPSULA 2.2: EMISIONES DE VEHÍCULOS Y MAQUINARIA</t>
  </si>
  <si>
    <r>
      <t xml:space="preserve">                                           CÁPSULA 2.3: EMISIONES DE CH</t>
    </r>
    <r>
      <rPr>
        <b/>
        <vertAlign val="subscript"/>
        <sz val="17"/>
        <color rgb="FFFFFFFF"/>
        <rFont val="Arial Narrow"/>
        <family val="2"/>
      </rPr>
      <t>4</t>
    </r>
    <r>
      <rPr>
        <b/>
        <sz val="17"/>
        <color rgb="FFFFFFFF"/>
        <rFont val="Arial Narrow"/>
        <family val="2"/>
        <charset val="1"/>
      </rPr>
      <t xml:space="preserve"> Y N</t>
    </r>
    <r>
      <rPr>
        <b/>
        <vertAlign val="subscript"/>
        <sz val="17"/>
        <color rgb="FFFFFFFF"/>
        <rFont val="Arial Narrow"/>
        <family val="2"/>
      </rPr>
      <t>2</t>
    </r>
    <r>
      <rPr>
        <b/>
        <sz val="17"/>
        <color rgb="FFFFFFFF"/>
        <rFont val="Arial Narrow"/>
        <family val="2"/>
        <charset val="1"/>
      </rPr>
      <t>O DERIVADOS DE LA QUEMA DE RESTOS DE CORTA</t>
    </r>
  </si>
  <si>
    <r>
      <t xml:space="preserve">Esta cápsula de cálculo cuantifica las </t>
    </r>
    <r>
      <rPr>
        <b/>
        <sz val="11"/>
        <rFont val="Arial Narrow"/>
        <family val="2"/>
        <charset val="1"/>
      </rPr>
      <t>emisiones de CO</t>
    </r>
    <r>
      <rPr>
        <b/>
        <vertAlign val="subscript"/>
        <sz val="11"/>
        <rFont val="Arial Narrow"/>
        <family val="2"/>
      </rPr>
      <t>2</t>
    </r>
    <r>
      <rPr>
        <sz val="11"/>
        <rFont val="Arial Narrow"/>
        <family val="2"/>
        <charset val="1"/>
      </rPr>
      <t xml:space="preserve"> equivalentes derivadas de la emisión de otros gases de efecto invernadero (especialmente N</t>
    </r>
    <r>
      <rPr>
        <vertAlign val="subscript"/>
        <sz val="11"/>
        <rFont val="Arial Narrow"/>
        <family val="2"/>
      </rPr>
      <t>2</t>
    </r>
    <r>
      <rPr>
        <sz val="11"/>
        <rFont val="Arial Narrow"/>
        <family val="2"/>
        <charset val="1"/>
      </rPr>
      <t>O y CH</t>
    </r>
    <r>
      <rPr>
        <vertAlign val="subscript"/>
        <sz val="11"/>
        <rFont val="Arial Narrow"/>
        <family val="2"/>
      </rPr>
      <t>4</t>
    </r>
    <r>
      <rPr>
        <sz val="11"/>
        <rFont val="Arial Narrow"/>
        <family val="2"/>
        <charset val="1"/>
      </rPr>
      <t xml:space="preserve">) </t>
    </r>
    <r>
      <rPr>
        <b/>
        <sz val="11"/>
        <rFont val="Arial Narrow"/>
        <family val="2"/>
        <charset val="1"/>
      </rPr>
      <t xml:space="preserve">durante la quema de restos de corta </t>
    </r>
    <r>
      <rPr>
        <sz val="11"/>
        <rFont val="Arial Narrow"/>
        <family val="2"/>
        <charset val="1"/>
      </rPr>
      <t xml:space="preserve">(hojas, ramas, etc.), en caso de que se aplique en lugar de triturarlas. 
</t>
    </r>
  </si>
  <si>
    <t>Quema de hojas y ramas &lt;2 cm</t>
  </si>
  <si>
    <t>Quema de ramas &gt;2 cm</t>
  </si>
  <si>
    <t>Quema de tronco</t>
  </si>
  <si>
    <r>
      <t>Emisiones CH</t>
    </r>
    <r>
      <rPr>
        <b/>
        <vertAlign val="subscript"/>
        <sz val="11"/>
        <rFont val="Arial Narrow"/>
        <family val="2"/>
      </rPr>
      <t>4</t>
    </r>
    <r>
      <rPr>
        <b/>
        <sz val="11"/>
        <rFont val="Arial Narrow"/>
        <family val="2"/>
        <charset val="1"/>
      </rPr>
      <t xml:space="preserve"> quema hojas y ramas &lt;2 cm (g CH</t>
    </r>
    <r>
      <rPr>
        <b/>
        <vertAlign val="subscript"/>
        <sz val="11"/>
        <rFont val="Arial Narrow"/>
        <family val="2"/>
      </rPr>
      <t>4</t>
    </r>
    <r>
      <rPr>
        <b/>
        <sz val="11"/>
        <rFont val="Arial Narrow"/>
        <family val="2"/>
        <charset val="1"/>
      </rPr>
      <t>)</t>
    </r>
  </si>
  <si>
    <r>
      <t>Emisiones N</t>
    </r>
    <r>
      <rPr>
        <b/>
        <vertAlign val="subscript"/>
        <sz val="11"/>
        <rFont val="Arial Narrow"/>
        <family val="2"/>
      </rPr>
      <t>2</t>
    </r>
    <r>
      <rPr>
        <b/>
        <sz val="11"/>
        <rFont val="Arial Narrow"/>
        <family val="2"/>
        <charset val="1"/>
      </rPr>
      <t>O quema hojas y ramas &lt;2 cm (g N</t>
    </r>
    <r>
      <rPr>
        <b/>
        <vertAlign val="subscript"/>
        <sz val="11"/>
        <rFont val="Arial Narrow"/>
        <family val="2"/>
      </rPr>
      <t>2</t>
    </r>
    <r>
      <rPr>
        <b/>
        <sz val="11"/>
        <rFont val="Arial Narrow"/>
        <family val="2"/>
        <charset val="1"/>
      </rPr>
      <t>O)</t>
    </r>
  </si>
  <si>
    <r>
      <t>Emisiones CH</t>
    </r>
    <r>
      <rPr>
        <b/>
        <vertAlign val="subscript"/>
        <sz val="11"/>
        <rFont val="Arial Narrow"/>
        <family val="2"/>
      </rPr>
      <t>4</t>
    </r>
    <r>
      <rPr>
        <b/>
        <sz val="11"/>
        <rFont val="Arial Narrow"/>
        <family val="2"/>
        <charset val="1"/>
      </rPr>
      <t xml:space="preserve"> quema hojas &gt;2 cm (g CH</t>
    </r>
    <r>
      <rPr>
        <b/>
        <vertAlign val="subscript"/>
        <sz val="11"/>
        <rFont val="Arial Narrow"/>
        <family val="2"/>
      </rPr>
      <t>4</t>
    </r>
    <r>
      <rPr>
        <b/>
        <sz val="11"/>
        <rFont val="Arial Narrow"/>
        <family val="2"/>
        <charset val="1"/>
      </rPr>
      <t>)</t>
    </r>
  </si>
  <si>
    <r>
      <t>Emisiones N</t>
    </r>
    <r>
      <rPr>
        <b/>
        <vertAlign val="subscript"/>
        <sz val="11"/>
        <rFont val="Arial Narrow"/>
        <family val="2"/>
      </rPr>
      <t>2</t>
    </r>
    <r>
      <rPr>
        <b/>
        <sz val="11"/>
        <rFont val="Arial Narrow"/>
        <family val="2"/>
        <charset val="1"/>
      </rPr>
      <t>O quema hojas &gt;2 cm (g N</t>
    </r>
    <r>
      <rPr>
        <b/>
        <vertAlign val="subscript"/>
        <sz val="11"/>
        <rFont val="Arial Narrow"/>
        <family val="2"/>
      </rPr>
      <t>2</t>
    </r>
    <r>
      <rPr>
        <b/>
        <sz val="11"/>
        <rFont val="Arial Narrow"/>
        <family val="2"/>
        <charset val="1"/>
      </rPr>
      <t>O)</t>
    </r>
  </si>
  <si>
    <r>
      <t>Emisiones CH</t>
    </r>
    <r>
      <rPr>
        <b/>
        <vertAlign val="subscript"/>
        <sz val="11"/>
        <rFont val="Arial Narrow"/>
        <family val="2"/>
      </rPr>
      <t>4</t>
    </r>
    <r>
      <rPr>
        <b/>
        <sz val="11"/>
        <rFont val="Arial Narrow"/>
        <family val="2"/>
        <charset val="1"/>
      </rPr>
      <t xml:space="preserve"> quema tronco (g CH</t>
    </r>
    <r>
      <rPr>
        <b/>
        <vertAlign val="subscript"/>
        <sz val="11"/>
        <rFont val="Arial Narrow"/>
        <family val="2"/>
      </rPr>
      <t>4</t>
    </r>
    <r>
      <rPr>
        <b/>
        <sz val="11"/>
        <rFont val="Arial Narrow"/>
        <family val="2"/>
        <charset val="1"/>
      </rPr>
      <t>)</t>
    </r>
  </si>
  <si>
    <r>
      <t>Emisiones N</t>
    </r>
    <r>
      <rPr>
        <b/>
        <vertAlign val="subscript"/>
        <sz val="11"/>
        <rFont val="Arial Narrow"/>
        <family val="2"/>
      </rPr>
      <t>2</t>
    </r>
    <r>
      <rPr>
        <b/>
        <sz val="11"/>
        <rFont val="Arial Narrow"/>
        <family val="2"/>
        <charset val="1"/>
      </rPr>
      <t>O quema tronco (g N</t>
    </r>
    <r>
      <rPr>
        <b/>
        <vertAlign val="subscript"/>
        <sz val="11"/>
        <rFont val="Arial Narrow"/>
        <family val="2"/>
      </rPr>
      <t>2</t>
    </r>
    <r>
      <rPr>
        <b/>
        <sz val="11"/>
        <rFont val="Arial Narrow"/>
        <family val="2"/>
        <charset val="1"/>
      </rPr>
      <t>O)</t>
    </r>
  </si>
  <si>
    <r>
      <t>Emisiones totales restos de corta quemados (kg CO</t>
    </r>
    <r>
      <rPr>
        <b/>
        <vertAlign val="subscript"/>
        <sz val="11"/>
        <rFont val="Arial Narrow"/>
        <family val="2"/>
      </rPr>
      <t>2</t>
    </r>
    <r>
      <rPr>
        <b/>
        <sz val="11"/>
        <rFont val="Arial Narrow"/>
        <family val="2"/>
        <charset val="1"/>
      </rPr>
      <t>)</t>
    </r>
  </si>
  <si>
    <r>
      <rPr>
        <b/>
        <sz val="10"/>
        <rFont val="Arial Narrow"/>
        <family val="2"/>
      </rPr>
      <t>Aclaración:</t>
    </r>
    <r>
      <rPr>
        <sz val="10"/>
        <rFont val="Arial Narrow"/>
        <family val="2"/>
        <charset val="1"/>
      </rPr>
      <t xml:space="preserve">
1. Esta tabla se autocompletará con la información introducida en la Cápsula 2.1.</t>
    </r>
  </si>
  <si>
    <r>
      <t xml:space="preserve"> Esta cápsula de cálculo cuantifica las </t>
    </r>
    <r>
      <rPr>
        <b/>
        <sz val="11"/>
        <rFont val="Arial Narrow"/>
        <family val="2"/>
      </rPr>
      <t>emisiones de CO₂ derivadas de productos madereros</t>
    </r>
    <r>
      <rPr>
        <sz val="11"/>
        <rFont val="Arial Narrow"/>
        <family val="2"/>
        <charset val="1"/>
      </rPr>
      <t xml:space="preserve">, lo cual hace referencia al retorno a la atmósfera del carbono fijado a los productos si son de ciclo de vida corto y no se reciclan. A afectos de esta metodología se considera lo siguiente:
- </t>
    </r>
    <r>
      <rPr>
        <b/>
        <sz val="11"/>
        <rFont val="Arial Narrow"/>
        <family val="2"/>
        <charset val="1"/>
      </rPr>
      <t>Productos de vida útil corta (&lt; 2 años)</t>
    </r>
    <r>
      <rPr>
        <sz val="11"/>
        <rFont val="Arial Narrow"/>
        <family val="2"/>
        <charset val="1"/>
      </rPr>
      <t xml:space="preserve"> (P&lt; 2 años): se refiere a biocombustibles, como pelet o astilla, y se considera un retorno a la atmósfera del </t>
    </r>
    <r>
      <rPr>
        <b/>
        <sz val="11"/>
        <rFont val="Arial Narrow"/>
        <family val="2"/>
        <charset val="1"/>
      </rPr>
      <t>100 % del CO</t>
    </r>
    <r>
      <rPr>
        <b/>
        <vertAlign val="subscript"/>
        <sz val="11"/>
        <rFont val="Arial Narrow"/>
        <family val="2"/>
      </rPr>
      <t>2</t>
    </r>
    <r>
      <rPr>
        <b/>
        <sz val="11"/>
        <rFont val="Arial Narrow"/>
        <family val="2"/>
        <charset val="1"/>
      </rPr>
      <t xml:space="preserve"> retenido</t>
    </r>
    <r>
      <rPr>
        <sz val="11"/>
        <rFont val="Arial Narrow"/>
        <family val="2"/>
        <charset val="1"/>
      </rPr>
      <t>.
-</t>
    </r>
    <r>
      <rPr>
        <b/>
        <sz val="11"/>
        <rFont val="Arial Narrow"/>
        <family val="2"/>
        <charset val="1"/>
      </rPr>
      <t xml:space="preserve"> Productos de vida útil media (&lt; 10 años) </t>
    </r>
    <r>
      <rPr>
        <sz val="11"/>
        <rFont val="Arial Narrow"/>
        <family val="2"/>
        <charset val="1"/>
      </rPr>
      <t xml:space="preserve">(P&lt; 10 años): se refiere a productos com palés y embalajes, y se considera un retorn a la atmósfera del </t>
    </r>
    <r>
      <rPr>
        <b/>
        <sz val="11"/>
        <rFont val="Arial Narrow"/>
        <family val="2"/>
        <charset val="1"/>
      </rPr>
      <t>75 % del CO</t>
    </r>
    <r>
      <rPr>
        <b/>
        <vertAlign val="subscript"/>
        <sz val="11"/>
        <rFont val="Arial Narrow"/>
        <family val="2"/>
      </rPr>
      <t>2</t>
    </r>
    <r>
      <rPr>
        <b/>
        <sz val="11"/>
        <rFont val="Arial Narrow"/>
        <family val="2"/>
        <charset val="1"/>
      </rPr>
      <t xml:space="preserve"> retenido</t>
    </r>
    <r>
      <rPr>
        <sz val="11"/>
        <rFont val="Arial Narrow"/>
        <family val="2"/>
        <charset val="1"/>
      </rPr>
      <t xml:space="preserve"> (teniendo en cuenta la normativa de reciclaje europea).
- </t>
    </r>
    <r>
      <rPr>
        <b/>
        <sz val="11"/>
        <rFont val="Arial Narrow"/>
        <family val="2"/>
        <charset val="1"/>
      </rPr>
      <t>Productos de vida útil larga (&gt;30 años)</t>
    </r>
    <r>
      <rPr>
        <sz val="11"/>
        <rFont val="Arial Narrow"/>
        <family val="2"/>
        <charset val="1"/>
      </rPr>
      <t xml:space="preserve"> (P&gt;30 años): se refiere a productos com estructuras, mobiliario, traviesas y palos, y se considera un retorno a la atmósfera del </t>
    </r>
    <r>
      <rPr>
        <b/>
        <sz val="11"/>
        <rFont val="Arial Narrow"/>
        <family val="2"/>
        <charset val="1"/>
      </rPr>
      <t>0 % del CO</t>
    </r>
    <r>
      <rPr>
        <b/>
        <vertAlign val="subscript"/>
        <sz val="11"/>
        <rFont val="Arial Narrow"/>
        <family val="2"/>
      </rPr>
      <t>2</t>
    </r>
    <r>
      <rPr>
        <b/>
        <sz val="11"/>
        <rFont val="Arial Narrow"/>
        <family val="2"/>
        <charset val="1"/>
      </rPr>
      <t xml:space="preserve"> retenido</t>
    </r>
    <r>
      <rPr>
        <sz val="11"/>
        <rFont val="Arial Narrow"/>
        <family val="2"/>
        <charset val="1"/>
      </rPr>
      <t xml:space="preserve">. 
</t>
    </r>
  </si>
  <si>
    <t>Nº de pies a extaer</t>
  </si>
  <si>
    <t>Tipos productos de hojas y ramas &lt;2 cm</t>
  </si>
  <si>
    <t>Tipos productos de ramas &gt;2 cm</t>
  </si>
  <si>
    <t>Tipos productos de tronco</t>
  </si>
  <si>
    <r>
      <t>Emisiones productos hojas y ramas &lt;2 cm (kg CO</t>
    </r>
    <r>
      <rPr>
        <b/>
        <vertAlign val="subscript"/>
        <sz val="11"/>
        <rFont val="Arial Narrow"/>
        <family val="2"/>
      </rPr>
      <t>2</t>
    </r>
    <r>
      <rPr>
        <b/>
        <sz val="11"/>
        <rFont val="Arial Narrow"/>
        <family val="2"/>
        <charset val="1"/>
      </rPr>
      <t>)</t>
    </r>
  </si>
  <si>
    <r>
      <t>Emisiones productos ramas &gt;2 cm (kg CO</t>
    </r>
    <r>
      <rPr>
        <b/>
        <vertAlign val="subscript"/>
        <sz val="11"/>
        <rFont val="Arial Narrow"/>
        <family val="2"/>
      </rPr>
      <t>2</t>
    </r>
    <r>
      <rPr>
        <b/>
        <sz val="11"/>
        <rFont val="Arial Narrow"/>
        <family val="2"/>
        <charset val="1"/>
      </rPr>
      <t>)</t>
    </r>
  </si>
  <si>
    <r>
      <t>Emisiones productos tronco 
(kg CO</t>
    </r>
    <r>
      <rPr>
        <b/>
        <vertAlign val="subscript"/>
        <sz val="11"/>
        <rFont val="Arial Narrow"/>
        <family val="2"/>
      </rPr>
      <t>2</t>
    </r>
    <r>
      <rPr>
        <b/>
        <sz val="11"/>
        <rFont val="Arial Narrow"/>
        <family val="2"/>
        <charset val="1"/>
      </rPr>
      <t>)</t>
    </r>
  </si>
  <si>
    <r>
      <t>Emisiones totales productos (kg CO</t>
    </r>
    <r>
      <rPr>
        <b/>
        <vertAlign val="subscript"/>
        <sz val="11"/>
        <rFont val="Arial Narrow"/>
        <family val="2"/>
      </rPr>
      <t>2</t>
    </r>
    <r>
      <rPr>
        <b/>
        <sz val="11"/>
        <rFont val="Arial Narrow"/>
        <family val="2"/>
        <charset val="1"/>
      </rPr>
      <t>)</t>
    </r>
  </si>
  <si>
    <t>2.4. Cápsula 2.3: Emisiones de CH4 y N2O por quema</t>
  </si>
  <si>
    <t>CÁPSULA 2.4: EMISIONES DE LOS PRODUCTOS MADEREROS</t>
  </si>
  <si>
    <r>
      <rPr>
        <b/>
        <sz val="10"/>
        <rFont val="Arial Narrow"/>
        <family val="2"/>
      </rPr>
      <t>Aclaración:</t>
    </r>
    <r>
      <rPr>
        <sz val="10"/>
        <rFont val="Arial Narrow"/>
        <family val="2"/>
        <charset val="1"/>
      </rPr>
      <t xml:space="preserve">
1. Indicar, por las diferentes fracciones de biomasa aérea, si se obtiene producto y, en caso de que se obtenga, si son de vida útil corta, media o larga. Ha de ir en consonancia con el destino de las diferentes fracciones de biomasa que se han indicado en la Cápsula 2.1 </t>
    </r>
  </si>
  <si>
    <t xml:space="preserve">                                          INFORME FINAL: RESULTADOS DE ABSORCIONES DEL PROYECTO</t>
  </si>
  <si>
    <t>Superficie de actuació (ha)</t>
  </si>
  <si>
    <t>Nº de pies a plantar / Regeneración natural</t>
  </si>
  <si>
    <t>Cápsulas de cálculo</t>
  </si>
  <si>
    <t>Absorciones</t>
  </si>
  <si>
    <t>Emisiones</t>
  </si>
  <si>
    <t>Total emisiones y absorciones</t>
  </si>
  <si>
    <t>Balance del proyecto</t>
  </si>
  <si>
    <t>Absorciones de los árboles</t>
  </si>
  <si>
    <r>
      <t>Emisiones CO</t>
    </r>
    <r>
      <rPr>
        <b/>
        <vertAlign val="subscript"/>
        <sz val="11"/>
        <color rgb="FF000000"/>
        <rFont val="Arial Narrow"/>
        <family val="2"/>
      </rPr>
      <t>2</t>
    </r>
    <r>
      <rPr>
        <b/>
        <sz val="11"/>
        <color rgb="FF000000"/>
        <rFont val="Arial Narrow"/>
        <family val="2"/>
        <charset val="1"/>
      </rPr>
      <t xml:space="preserve"> descomposición y quema</t>
    </r>
  </si>
  <si>
    <t>Emisiones vehículos y maquinaria</t>
  </si>
  <si>
    <r>
      <t>Emisiones CH</t>
    </r>
    <r>
      <rPr>
        <b/>
        <vertAlign val="subscript"/>
        <sz val="11"/>
        <color rgb="FF000000"/>
        <rFont val="Arial Narrow"/>
        <family val="2"/>
      </rPr>
      <t>4</t>
    </r>
    <r>
      <rPr>
        <b/>
        <sz val="11"/>
        <color rgb="FF000000"/>
        <rFont val="Arial Narrow"/>
        <family val="2"/>
        <charset val="1"/>
      </rPr>
      <t xml:space="preserve"> y N</t>
    </r>
    <r>
      <rPr>
        <b/>
        <vertAlign val="subscript"/>
        <sz val="11"/>
        <color rgb="FF000000"/>
        <rFont val="Arial Narrow"/>
        <family val="2"/>
      </rPr>
      <t>2</t>
    </r>
    <r>
      <rPr>
        <b/>
        <sz val="11"/>
        <color rgb="FF000000"/>
        <rFont val="Arial Narrow"/>
        <family val="2"/>
        <charset val="1"/>
      </rPr>
      <t>O por quema</t>
    </r>
  </si>
  <si>
    <t>Emisiones de productos madereros</t>
  </si>
  <si>
    <t>RESULTADOS DE LAS CÁPSULAS DE CÁLCULO</t>
  </si>
  <si>
    <t>RESULTADOS DE LAS ABSORCIONES DISPONIBLES DEL PROYECTO</t>
  </si>
  <si>
    <t>Absorciones previstas (ex-ante)</t>
  </si>
  <si>
    <t>Absorciones disponibles (18%)</t>
  </si>
  <si>
    <t>Absorciones a ceder a la bolsa de garantía (2%)</t>
  </si>
  <si>
    <t>Balance</t>
  </si>
  <si>
    <t>1.1 Absorciones de los árboles</t>
  </si>
  <si>
    <t>2.2 Emisiones vehículos y maquinaria</t>
  </si>
  <si>
    <t>2.4 Emisiones productos madereros</t>
  </si>
  <si>
    <r>
      <t>2.1 Emisiones CO</t>
    </r>
    <r>
      <rPr>
        <vertAlign val="subscript"/>
        <sz val="11"/>
        <color theme="0"/>
        <rFont val="Arial Narrow"/>
        <family val="2"/>
        <charset val="1"/>
      </rPr>
      <t>2</t>
    </r>
    <r>
      <rPr>
        <sz val="11"/>
        <color theme="0"/>
        <rFont val="Arial Narrow"/>
        <family val="2"/>
        <charset val="1"/>
      </rPr>
      <t xml:space="preserve"> descomposición y quema</t>
    </r>
  </si>
  <si>
    <r>
      <t>2.3 Emisiones CH</t>
    </r>
    <r>
      <rPr>
        <vertAlign val="subscript"/>
        <sz val="10"/>
        <color theme="0"/>
        <rFont val="Arial Narrow"/>
        <family val="2"/>
        <charset val="1"/>
      </rPr>
      <t>4</t>
    </r>
    <r>
      <rPr>
        <sz val="10"/>
        <color theme="0"/>
        <rFont val="Arial Narrow"/>
        <family val="2"/>
        <charset val="1"/>
      </rPr>
      <t xml:space="preserve"> y N</t>
    </r>
    <r>
      <rPr>
        <vertAlign val="subscript"/>
        <sz val="10"/>
        <color theme="0"/>
        <rFont val="Arial Narrow"/>
        <family val="2"/>
        <charset val="1"/>
      </rPr>
      <t>2</t>
    </r>
    <r>
      <rPr>
        <sz val="10"/>
        <color theme="0"/>
        <rFont val="Arial Narrow"/>
        <family val="2"/>
        <charset val="1"/>
      </rPr>
      <t>O por quema</t>
    </r>
  </si>
  <si>
    <r>
      <t>Cápsula 2.1: Emisiones de CO</t>
    </r>
    <r>
      <rPr>
        <b/>
        <vertAlign val="subscript"/>
        <sz val="14"/>
        <rFont val="Arial Narrow"/>
        <family val="2"/>
      </rPr>
      <t>2</t>
    </r>
    <r>
      <rPr>
        <b/>
        <sz val="14"/>
        <rFont val="Arial Narrow"/>
        <family val="2"/>
      </rPr>
      <t xml:space="preserve"> por descomposición y quema de restos de corta y raíces muertas</t>
    </r>
  </si>
  <si>
    <r>
      <t>Cápsula 2.3: Emisiones de CH</t>
    </r>
    <r>
      <rPr>
        <b/>
        <vertAlign val="subscript"/>
        <sz val="14"/>
        <rFont val="Arial Narrow"/>
        <family val="2"/>
      </rPr>
      <t>4</t>
    </r>
    <r>
      <rPr>
        <b/>
        <sz val="14"/>
        <rFont val="Arial Narrow"/>
        <family val="2"/>
      </rPr>
      <t xml:space="preserve"> y N</t>
    </r>
    <r>
      <rPr>
        <b/>
        <vertAlign val="subscript"/>
        <sz val="14"/>
        <rFont val="Arial Narrow"/>
        <family val="2"/>
      </rPr>
      <t>2</t>
    </r>
    <r>
      <rPr>
        <b/>
        <sz val="14"/>
        <rFont val="Arial Narrow"/>
        <family val="2"/>
      </rPr>
      <t>O por quema de restos de corta</t>
    </r>
  </si>
  <si>
    <t xml:space="preserve">A partir del día 1 de enero de 2022 entra en vigor el Decreto 48/2021, de 13 de diciembre, regulador del Registro balear de huella de carbono. 
Los sujetos indicados en el artículo 2.1 del Decreto 48/2021 están obligados a inscribir en la sección 2, en caso de que tengan, los proyectos de absorción o de reducción de dióxido de carbono que sean de su titularidad y que estén situados en el territorio de las Islas Baleares. En cambio, inscribir estos proyectos es voluntario para los sujetos indicados en el artículo 2.5 del Decreto 48/2021.
De acuerdo con el artículo 13.9 del Decreto 48/2021, la consejería competente en materia de cambio climático tiene que establecer, mediante una resolución en el Boletín Oficial de las Islas Baleares, las metodologías de cálculo de las absorciones de CO₂ generadas por los proyectos y se tienen que determinar los factores de absorción que se tienen que aplicar.
En fecha 18 de octubre de 2025 se publica al Boletín Oficial de las Islas Baleares la Resolución del consejero de Empresa, Autónomos y Energía, a propuesta del director general de Economía Circular, Transición Energética y Cambio Climático, por la cual se aprueba la «Metodología de cálculo de las absorciones de carbono en las repoblaciones forestales y los factores de absorción relacionados dentro del marco de los proyectos de compensación del Registro balear de huella de carbono» (BOIB n.º 138, de 18 de octubre de 2025). 
Por este motivo, se pone a disposición del usuario la herramienta CALCULADORA DE LAS ABSORCIONES DE CARBONO EN REPOBLACIONES FORESTALES (PLANTACIONES Y ACTUACIONES PARA GARANTIZAR LA REGENERACIÓN NATURAL), diseñada para calcular las absorciones ex-ante de este tipo de proyectos de acuerdo con la metodología aprobada por resolución.
</t>
  </si>
  <si>
    <r>
      <t xml:space="preserve">Los proyectos de absorción basados en </t>
    </r>
    <r>
      <rPr>
        <b/>
        <sz val="11"/>
        <color rgb="FF000000"/>
        <rFont val="Arial Narrow"/>
        <family val="2"/>
      </rPr>
      <t>repoblaciones</t>
    </r>
    <r>
      <rPr>
        <sz val="11"/>
        <color rgb="FF000000"/>
        <rFont val="Arial Narrow"/>
        <family val="2"/>
      </rPr>
      <t xml:space="preserve"> forestales consistirán, generalmente, en hacer replantaciones o en llevar a cabo </t>
    </r>
    <r>
      <rPr>
        <b/>
        <sz val="11"/>
        <color rgb="FF000000"/>
        <rFont val="Arial Narrow"/>
        <family val="2"/>
      </rPr>
      <t>actuaciones para garantizar la regeneración natural de zonas degradadas o afectadas por perturbaciones</t>
    </r>
    <r>
      <rPr>
        <sz val="11"/>
        <color rgb="FF000000"/>
        <rFont val="Arial Narrow"/>
        <family val="2"/>
      </rPr>
      <t xml:space="preserve"> que han quedado desproveídas de vegetación arbórea. 
El resultado del balance de aplicar esta calculadora hace referencia a las absorciones que se prevé que genere el proyecto a lo largo de los años de su vigencia. Las estimaciones se harán a nivel de rodal, entendiendo un rodal como una unidad homogénea de gestión. Para este tipo de proyectos, </t>
    </r>
    <r>
      <rPr>
        <b/>
        <sz val="11"/>
        <color rgb="FF000000"/>
        <rFont val="Arial Narrow"/>
        <family val="2"/>
      </rPr>
      <t>los años de vigencia</t>
    </r>
    <r>
      <rPr>
        <sz val="11"/>
        <color rgb="FF000000"/>
        <rFont val="Arial Narrow"/>
        <family val="2"/>
      </rPr>
      <t xml:space="preserve"> equivaldrán al </t>
    </r>
    <r>
      <rPr>
        <b/>
        <sz val="11"/>
        <color rgb="FF000000"/>
        <rFont val="Arial Narrow"/>
        <family val="2"/>
      </rPr>
      <t>período comprendido entre la plantación o las actuaciones para garantizar la regeneración natural y la aplicación de la primera intervención</t>
    </r>
    <r>
      <rPr>
        <sz val="11"/>
        <color rgb="FF000000"/>
        <rFont val="Arial Narrow"/>
        <family val="2"/>
      </rPr>
      <t xml:space="preserve"> que la masa requiera (a los 10-20 años). La primera intervención, además de cumplir con cualquier objetivo específico que se le atribuya (absorción de carbono, producción de madera, etc.), tiene que garantizar una masa resistente a los incendios forestales a fin de asegurar su persistencia. Además, </t>
    </r>
    <r>
      <rPr>
        <b/>
        <sz val="11"/>
        <color rgb="FF000000"/>
        <rFont val="Arial Narrow"/>
        <family val="2"/>
      </rPr>
      <t>se considera que el escenario de línea base no supone emisiones ni absorciones de CO₂</t>
    </r>
    <r>
      <rPr>
        <sz val="11"/>
        <color rgb="FF000000"/>
        <rFont val="Arial Narrow"/>
        <family val="2"/>
      </rPr>
      <t>, puesto que se trata de zonas degradadas o afectadas por perturbaciones desprovistas de vegetación arbórea y que, en caso de que haya algún ejemplar, continuará fijando igualmente carbono en ambos escenarios.</t>
    </r>
  </si>
  <si>
    <r>
      <rPr>
        <b/>
        <sz val="11"/>
        <rFont val="Arial Narrow"/>
        <family val="2"/>
      </rPr>
      <t>Aclaración</t>
    </r>
    <r>
      <rPr>
        <sz val="11"/>
        <rFont val="Arial Narrow"/>
        <family val="2"/>
      </rPr>
      <t xml:space="preserve">:
1. Indicar el código identificador de cada uno de los rodales de actuación que incluye el proyecto. Por ejemplo: 1a.
2. Indicar la referencia catastral (código alfanumérico compuesto por 20 caracteres) en la que se ubica el rodal de actuación.
3. Indicar la superficie del rodal sobre la que se actúa (no la superficie del rodal). La unidad son las hectáreas. 
4. Indicar el año en el que se hará la plantación o se llevarán a cabo actuaciones para asegurar la regeneración natural de la masa (como pueden ser cierre de exclusión de herbívoros).
</t>
    </r>
  </si>
  <si>
    <t>Quema</t>
  </si>
  <si>
    <t>Descomposición</t>
  </si>
  <si>
    <t>Producto</t>
  </si>
  <si>
    <t>Factores de pérdida</t>
  </si>
  <si>
    <t>CÁPSULA DE CÁLCULO 1.1. Absorciones por parte de los árboles plantados o de regeneración natural</t>
  </si>
  <si>
    <r>
      <rPr>
        <b/>
        <sz val="11"/>
        <color rgb="FF000000"/>
        <rFont val="Calibri"/>
        <family val="2"/>
      </rPr>
      <t xml:space="preserve">Tabla 1. </t>
    </r>
    <r>
      <rPr>
        <sz val="11"/>
        <color rgb="FF000000"/>
        <rFont val="Calibri"/>
        <family val="2"/>
        <charset val="1"/>
      </rPr>
      <t>Factores de absorción (Fa) pera las principales especies forestales de porte arbóreo. Fuente: Ameztegui i Torné (2020), elaboración propia y MITERD (2023).</t>
    </r>
  </si>
  <si>
    <t>Absorcions acumuladas a lo largo de los años (kg CO2/pie)</t>
  </si>
  <si>
    <t>Especie</t>
  </si>
  <si>
    <t>Labiérnago de hoga ancha (Phillyrea latifolia)</t>
  </si>
  <si>
    <t>Encina (Quercus ilex)</t>
  </si>
  <si>
    <t>Alcornoque (Quercus suber)</t>
  </si>
  <si>
    <t>Madroño (Arbutus unedo)</t>
  </si>
  <si>
    <t>Acebo (Ilex aquifolium)</t>
  </si>
  <si>
    <t>Espino albar (Crataegus spp.)</t>
  </si>
  <si>
    <t>Fresno (Fraxinus angustifolia)</t>
  </si>
  <si>
    <t>Algarrobo (Ceratonia siliqua)</t>
  </si>
  <si>
    <t>Cornicabra (Pistacia terebinthus)</t>
  </si>
  <si>
    <t>Enebro (Juniperus oxycedrus)</t>
  </si>
  <si>
    <t>Aladierno (Rhamnus alaternus)</t>
  </si>
  <si>
    <t>Laurel (Laurus nobilis)</t>
  </si>
  <si>
    <t>Mirto (Myrtus communis)</t>
  </si>
  <si>
    <t>Acebuche (Olea europaea var. sylvestris)</t>
  </si>
  <si>
    <t>Olmo (Ulmus minor)</t>
  </si>
  <si>
    <t xml:space="preserve">Pino carrasco (Pinus halepensis) </t>
  </si>
  <si>
    <t>Pino piñonero (Pinus pinea)</t>
  </si>
  <si>
    <t>Pino resinero (Pinus pinaster)</t>
  </si>
  <si>
    <t>Plátano (Platanus hispanica)</t>
  </si>
  <si>
    <t>Chopo (Populus nigra)</t>
  </si>
  <si>
    <t xml:space="preserve">Peral del monte (Sorbus aria) </t>
  </si>
  <si>
    <t>Ácer (Acer opalus)</t>
  </si>
  <si>
    <t>Sauce blanco (Salix alba)</t>
  </si>
  <si>
    <t>Sabina (Juniperus phoenicea)</t>
  </si>
  <si>
    <t>Serbal (Sorbus domestica)</t>
  </si>
  <si>
    <t>Tejo (Taxus baccata)</t>
  </si>
  <si>
    <t>Tamarisco (Tamarix spp.)</t>
  </si>
  <si>
    <t>CÁPSULA DE CÁLCULO 2.1. Emisiones por descomposición o quema de restos de corta y raíces muertas.</t>
  </si>
  <si>
    <r>
      <rPr>
        <b/>
        <sz val="11"/>
        <color rgb="FF000000"/>
        <rFont val="Calibri"/>
        <family val="2"/>
      </rPr>
      <t>Tabla 2.</t>
    </r>
    <r>
      <rPr>
        <sz val="11"/>
        <color rgb="FF000000"/>
        <rFont val="Calibri"/>
        <family val="2"/>
        <charset val="1"/>
      </rPr>
      <t xml:space="preserve"> Factores de pérdida por descomposición o quema de restos de corta y raíces muertas. </t>
    </r>
  </si>
  <si>
    <r>
      <rPr>
        <b/>
        <sz val="11"/>
        <color rgb="FF000000"/>
        <rFont val="Calibri"/>
        <family val="2"/>
      </rPr>
      <t>Tabla 3.</t>
    </r>
    <r>
      <rPr>
        <sz val="11"/>
        <color rgb="FF000000"/>
        <rFont val="Calibri"/>
        <family val="2"/>
        <charset val="1"/>
      </rPr>
      <t xml:space="preserve"> Factores de absorción de las diferentes fracciones de biomasa de las principales especies forestales de porte arbóreo. Fuente: Montero et al. (2005) y elabroación propia.</t>
    </r>
  </si>
  <si>
    <t>Absorciones acumuladas a las diferentes fracciones de biomasa a lo largo de los años (kg CO2/pie)</t>
  </si>
  <si>
    <t>CÁPSULA DE CÁLCULO 2.2. Emisiones de vehículos y maquinaria.</t>
  </si>
  <si>
    <r>
      <rPr>
        <b/>
        <sz val="11"/>
        <color rgb="FF000000"/>
        <rFont val="Calibri"/>
        <family val="2"/>
      </rPr>
      <t>Tabla 4.</t>
    </r>
    <r>
      <rPr>
        <sz val="11"/>
        <color rgb="FF000000"/>
        <rFont val="Calibri"/>
        <family val="2"/>
        <charset val="1"/>
      </rPr>
      <t xml:space="preserve"> Factores de emisión de referencia de la maquinaria utilizada según el tipo de tratamiento silvícola. Fuente: elaboración propia y Cervera et al. (2005). Calculadora huella CAIB 2023</t>
    </r>
  </si>
  <si>
    <t>Unidad</t>
  </si>
  <si>
    <t>Desbroce</t>
  </si>
  <si>
    <t>Clareo</t>
  </si>
  <si>
    <t>Clara y corta selectiva</t>
  </si>
  <si>
    <t>Corta de regeneración</t>
  </si>
  <si>
    <t>Transporte en camión de planta o producto maderero</t>
  </si>
  <si>
    <t>Apertura mecanizada de hoyos</t>
  </si>
  <si>
    <t>Subsolado con ripper</t>
  </si>
  <si>
    <t>Consumo combustible gasoil B</t>
  </si>
  <si>
    <t>Consumo combustible B7</t>
  </si>
  <si>
    <t>Consumo combustible B10</t>
  </si>
  <si>
    <t>Consumo combustible B20</t>
  </si>
  <si>
    <t>Consumo combustible B30</t>
  </si>
  <si>
    <t>Consumo combustible B100</t>
  </si>
  <si>
    <t>Consumo combustible E5</t>
  </si>
  <si>
    <t>Consumo combustible E10</t>
  </si>
  <si>
    <t>Consumo combustible E85</t>
  </si>
  <si>
    <t>Consumo combustible E100</t>
  </si>
  <si>
    <t>Consumo lubricantes</t>
  </si>
  <si>
    <t>40 hoyos/h Consumo 12l/h</t>
  </si>
  <si>
    <t>1,8 h/km Consumo 12 l/h</t>
  </si>
  <si>
    <t>CÁPSULA DE CÁLCULO 2.3. Emisiones por quema de restos de corta</t>
  </si>
  <si>
    <r>
      <rPr>
        <b/>
        <sz val="11"/>
        <color rgb="FF000000"/>
        <rFont val="Calibri"/>
        <family val="2"/>
      </rPr>
      <t>Tabla 5.</t>
    </r>
    <r>
      <rPr>
        <sz val="11"/>
        <color rgb="FF000000"/>
        <rFont val="Calibri"/>
        <family val="2"/>
        <charset val="1"/>
      </rPr>
      <t xml:space="preserve"> Peso seco de las diferentes fracciones de biomasa de las principales especies forestales de porte arbóreo. Fuente: elaboración propia y Montero et al. (2005).</t>
    </r>
  </si>
  <si>
    <t>Peso seco de las diferentes fracciones de biomasa a lo largo de los años (kg/pie)</t>
  </si>
  <si>
    <r>
      <rPr>
        <b/>
        <sz val="11"/>
        <color rgb="FF000000"/>
        <rFont val="Calibri"/>
        <family val="2"/>
      </rPr>
      <t>Tabla 6.</t>
    </r>
    <r>
      <rPr>
        <sz val="11"/>
        <color rgb="FF000000"/>
        <rFont val="Calibri"/>
        <family val="2"/>
        <charset val="1"/>
      </rPr>
      <t xml:space="preserve"> Factores de emisión por quema de restos de corta de las principales especies forestales de porte arbóreo. Fuente: MITERD (2024).</t>
    </r>
  </si>
  <si>
    <t>Leñosas</t>
  </si>
  <si>
    <r>
      <rPr>
        <b/>
        <sz val="11"/>
        <color rgb="FF000000"/>
        <rFont val="Calibri"/>
        <family val="2"/>
      </rPr>
      <t>Tabla 7.</t>
    </r>
    <r>
      <rPr>
        <sz val="11"/>
        <color rgb="FF000000"/>
        <rFont val="Calibri"/>
        <family val="2"/>
        <charset val="1"/>
      </rPr>
      <t xml:space="preserve"> Tabla de equivalencias a dióxido de carbono. Fuente: factores de emisión CAIB 2023.</t>
    </r>
  </si>
  <si>
    <t>Equivalencia</t>
  </si>
  <si>
    <t>CÀPSULA DE CÁLCULO 2.4. Emisiones de productos madereros</t>
  </si>
  <si>
    <r>
      <rPr>
        <b/>
        <sz val="11"/>
        <color rgb="FF000000"/>
        <rFont val="Calibri"/>
        <family val="2"/>
      </rPr>
      <t>Tabla 8.</t>
    </r>
    <r>
      <rPr>
        <sz val="11"/>
        <color rgb="FF000000"/>
        <rFont val="Calibri"/>
        <family val="2"/>
        <charset val="1"/>
      </rPr>
      <t xml:space="preserve"> Factor de retorno a la atmosfera del carbono fijado a los productos en fucnión de su ciclo de vida. Fuente: LifeClimark</t>
    </r>
  </si>
  <si>
    <t>Vida útil del producto maderero</t>
  </si>
  <si>
    <t>Vida útil corta (&lt;2 años)</t>
  </si>
  <si>
    <t>Vida útil media (&lt;10 años)</t>
  </si>
  <si>
    <t>Vida útil larga (&gt;30 años)</t>
  </si>
  <si>
    <t>No se obtiene producto</t>
  </si>
  <si>
    <r>
      <t>2.2. Cápsula 2.1: Emisiones de CO</t>
    </r>
    <r>
      <rPr>
        <b/>
        <vertAlign val="subscript"/>
        <sz val="11"/>
        <color theme="9" tint="-0.249977111117893"/>
        <rFont val="Arial Narrow"/>
        <family val="2"/>
      </rPr>
      <t>2</t>
    </r>
    <r>
      <rPr>
        <b/>
        <sz val="11"/>
        <color theme="9" tint="-0.249977111117893"/>
        <rFont val="Arial Narrow"/>
        <family val="2"/>
      </rPr>
      <t xml:space="preserve"> por descomposición y quema</t>
    </r>
  </si>
  <si>
    <r>
      <t>2.4. Cápsula 2.3: Emisiones de CH</t>
    </r>
    <r>
      <rPr>
        <b/>
        <vertAlign val="subscript"/>
        <sz val="11"/>
        <color theme="9" tint="-0.249977111117893"/>
        <rFont val="Arial Narrow"/>
        <family val="2"/>
      </rPr>
      <t>4</t>
    </r>
    <r>
      <rPr>
        <b/>
        <sz val="11"/>
        <color theme="9" tint="-0.249977111117893"/>
        <rFont val="Arial Narrow"/>
        <family val="2"/>
      </rPr>
      <t xml:space="preserve"> y N</t>
    </r>
    <r>
      <rPr>
        <b/>
        <vertAlign val="subscript"/>
        <sz val="11"/>
        <color theme="9" tint="-0.249977111117893"/>
        <rFont val="Arial Narrow"/>
        <family val="2"/>
      </rPr>
      <t>2</t>
    </r>
    <r>
      <rPr>
        <b/>
        <sz val="11"/>
        <color theme="9" tint="-0.249977111117893"/>
        <rFont val="Arial Narrow"/>
        <family val="2"/>
      </rPr>
      <t>O por quema</t>
    </r>
  </si>
  <si>
    <r>
      <t xml:space="preserve">Esta cápsula de cálculo cuantifica las </t>
    </r>
    <r>
      <rPr>
        <b/>
        <sz val="11"/>
        <rFont val="Arial Narrow"/>
        <family val="2"/>
      </rPr>
      <t>absorciones</t>
    </r>
    <r>
      <rPr>
        <sz val="11"/>
        <rFont val="Arial Narrow"/>
        <family val="2"/>
      </rPr>
      <t xml:space="preserve"> de carbono conseguidas por los árboles</t>
    </r>
    <r>
      <rPr>
        <b/>
        <sz val="11"/>
        <rFont val="Arial Narrow"/>
        <family val="2"/>
      </rPr>
      <t xml:space="preserve"> que se perderán por descomposición o quema de restos de</t>
    </r>
    <r>
      <rPr>
        <sz val="11"/>
        <rFont val="Arial Narrow"/>
        <family val="2"/>
      </rPr>
      <t xml:space="preserve"> </t>
    </r>
    <r>
      <rPr>
        <b/>
        <sz val="11"/>
        <rFont val="Arial Narrow"/>
        <family val="2"/>
      </rPr>
      <t>corta</t>
    </r>
    <r>
      <rPr>
        <sz val="11"/>
        <rFont val="Arial Narrow"/>
        <family val="2"/>
      </rPr>
      <t xml:space="preserve"> </t>
    </r>
    <r>
      <rPr>
        <b/>
        <sz val="11"/>
        <rFont val="Arial Narrow"/>
        <family val="2"/>
      </rPr>
      <t>y raíces muertas una vez aplicada la primera intervención</t>
    </r>
    <r>
      <rPr>
        <sz val="11"/>
        <rFont val="Arial Narrow"/>
        <family val="2"/>
      </rPr>
      <t>. No se tienen en cuenta los restos de poda de los árboles remanentes, puesto que seguramente sean podas bajas y se pueden despreciar. 
A efectos de esta metodología, se consideran</t>
    </r>
    <r>
      <rPr>
        <b/>
        <sz val="11"/>
        <rFont val="Arial Narrow"/>
        <family val="2"/>
      </rPr>
      <t xml:space="preserve"> restos de corta de las especies rebrotadoras</t>
    </r>
    <r>
      <rPr>
        <sz val="11"/>
        <rFont val="Arial Narrow"/>
        <family val="2"/>
      </rPr>
      <t xml:space="preserve"> (generalmente, frondosas) las fracciones de biomasa de </t>
    </r>
    <r>
      <rPr>
        <b/>
        <sz val="11"/>
        <rFont val="Arial Narrow"/>
        <family val="2"/>
      </rPr>
      <t>ramas de diámetro inferior a 2 cm</t>
    </r>
    <r>
      <rPr>
        <sz val="11"/>
        <rFont val="Arial Narrow"/>
        <family val="2"/>
      </rPr>
      <t xml:space="preserve"> (Bb &lt;2cm) y</t>
    </r>
    <r>
      <rPr>
        <b/>
        <sz val="11"/>
        <rFont val="Arial Narrow"/>
        <family val="2"/>
      </rPr>
      <t xml:space="preserve"> de hojas</t>
    </r>
    <r>
      <rPr>
        <sz val="11"/>
        <rFont val="Arial Narrow"/>
        <family val="2"/>
      </rPr>
      <t xml:space="preserve"> (Bf) (las ramas de diámetro superior a 2 cm se suelen aprovechar para leñas o palos), además de considerar que </t>
    </r>
    <r>
      <rPr>
        <b/>
        <sz val="11"/>
        <rFont val="Arial Narrow"/>
        <family val="2"/>
      </rPr>
      <t>sus raíces no mueren</t>
    </r>
    <r>
      <rPr>
        <sz val="11"/>
        <rFont val="Arial Narrow"/>
        <family val="2"/>
      </rPr>
      <t xml:space="preserve"> y que no suponen emisiones por descomposición. En cambio, se consideran </t>
    </r>
    <r>
      <rPr>
        <b/>
        <sz val="11"/>
        <rFont val="Arial Narrow"/>
        <family val="2"/>
      </rPr>
      <t>restos de corta de las especies no rebrotadoras</t>
    </r>
    <r>
      <rPr>
        <sz val="11"/>
        <rFont val="Arial Narrow"/>
        <family val="2"/>
      </rPr>
      <t xml:space="preserve"> (generalmente coníferas) las fracciones de biomasa de</t>
    </r>
    <r>
      <rPr>
        <b/>
        <sz val="11"/>
        <rFont val="Arial Narrow"/>
        <family val="2"/>
      </rPr>
      <t xml:space="preserve"> ramas de diámetro superior e inferior a 2 cm</t>
    </r>
    <r>
      <rPr>
        <sz val="11"/>
        <rFont val="Arial Narrow"/>
        <family val="2"/>
      </rPr>
      <t xml:space="preserve"> (Bb &gt;2cm y Bb &lt;2cm) (no se suelen aprovechar para leña) y </t>
    </r>
    <r>
      <rPr>
        <b/>
        <sz val="11"/>
        <rFont val="Arial Narrow"/>
        <family val="2"/>
      </rPr>
      <t xml:space="preserve">de hojas </t>
    </r>
    <r>
      <rPr>
        <sz val="11"/>
        <rFont val="Arial Narrow"/>
        <family val="2"/>
      </rPr>
      <t xml:space="preserve">(Bf), además de considerar que </t>
    </r>
    <r>
      <rPr>
        <b/>
        <sz val="11"/>
        <rFont val="Arial Narrow"/>
        <family val="2"/>
      </rPr>
      <t>sus raíces morirán</t>
    </r>
    <r>
      <rPr>
        <sz val="11"/>
        <rFont val="Arial Narrow"/>
        <family val="2"/>
      </rPr>
      <t xml:space="preserve"> y supondrán emisiones por descomposición.
Así, en caso de que los restos de corta se eliminen mediante </t>
    </r>
    <r>
      <rPr>
        <b/>
        <sz val="11"/>
        <rFont val="Arial Narrow"/>
        <family val="2"/>
      </rPr>
      <t>quema, la totalidad del carbono de éstas se vuelve a emitir a la atmósfera</t>
    </r>
    <r>
      <rPr>
        <sz val="11"/>
        <rFont val="Arial Narrow"/>
        <family val="2"/>
      </rPr>
      <t xml:space="preserve">, pero si se trituran y/o se mantienen en la parcela, *Voroney et al. (1989) considera que una parte de este carbono se emite durante su proceso de descomposición, mientras que alrededor de un </t>
    </r>
    <r>
      <rPr>
        <b/>
        <sz val="11"/>
        <rFont val="Arial Narrow"/>
        <family val="2"/>
      </rPr>
      <t>20% se fija al suelo en forma de carbono orgánico</t>
    </r>
    <r>
      <rPr>
        <sz val="11"/>
        <rFont val="Arial Narrow"/>
        <family val="2"/>
      </rPr>
      <t xml:space="preserve"> (reservorio COS). Lo mismo ocurre con la descomposición de las raíces que mueren de los árboles sometidos a la intervención, que serían las de las especies no rebrotadoras, mientras que las de las especies rebrotadoras no mueren y el carbono no se emite. Por eso, se aplicará un factor de pérdida (Fp) de 1 en caso de quema y de 0,8 en caso de descomposición de restos de corta y/o raíces muertas. En caso de que se destine a la</t>
    </r>
    <r>
      <rPr>
        <b/>
        <sz val="11"/>
        <rFont val="Arial Narrow"/>
        <family val="2"/>
      </rPr>
      <t xml:space="preserve"> obtención de un producto maderero, se tendrá en cuenta en la cápsula de cálculo 2.4</t>
    </r>
    <r>
      <rPr>
        <sz val="11"/>
        <rFont val="Arial Narrow"/>
        <family val="2"/>
      </rPr>
      <t>.</t>
    </r>
  </si>
  <si>
    <r>
      <rPr>
        <b/>
        <sz val="10"/>
        <rFont val="Arial Narrow"/>
        <family val="2"/>
      </rPr>
      <t>Aclaración:</t>
    </r>
    <r>
      <rPr>
        <sz val="10"/>
        <rFont val="Arial Narrow"/>
        <family val="2"/>
        <charset val="1"/>
      </rPr>
      <t xml:space="preserve">
1. Indicar el número de pies a extraer de cada especie con la primera intervención a aplicar.
2. Indicar el destino de cada uno de los restos de corta de las fraccionas aéreas de biomasa (hojas y ramas &lt;2 cm, ramas &gt;2 cm y tronco), el cual podrá ser quema, descomposición (en caso de que se triture y se mantenga en la parcela) u obtención de producto.</t>
    </r>
  </si>
  <si>
    <t>Destino de hojas y 
ramas &lt;2 cm</t>
  </si>
  <si>
    <r>
      <t>2.4. Capsula 2.3: Emisiones de CH</t>
    </r>
    <r>
      <rPr>
        <b/>
        <vertAlign val="subscript"/>
        <sz val="11"/>
        <color theme="9" tint="-0.249977111117893"/>
        <rFont val="Arial Narrow"/>
        <family val="2"/>
      </rPr>
      <t>4</t>
    </r>
    <r>
      <rPr>
        <b/>
        <sz val="11"/>
        <color theme="9" tint="-0.249977111117893"/>
        <rFont val="Arial Narrow"/>
        <family val="2"/>
      </rPr>
      <t xml:space="preserve"> y N</t>
    </r>
    <r>
      <rPr>
        <b/>
        <vertAlign val="subscript"/>
        <sz val="11"/>
        <color theme="9" tint="-0.249977111117893"/>
        <rFont val="Arial Narrow"/>
        <family val="2"/>
      </rPr>
      <t>2</t>
    </r>
    <r>
      <rPr>
        <b/>
        <sz val="11"/>
        <color theme="9" tint="-0.249977111117893"/>
        <rFont val="Arial Narrow"/>
        <family val="2"/>
      </rPr>
      <t>O por quema</t>
    </r>
  </si>
  <si>
    <t>Año primera intervención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</si>
</sst>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0.00&quot;    &quot;;\-* #,##0.00&quot;    &quot;;* \-#&quot;    &quot;;@\ "/>
    <numFmt numFmtId="165" formatCode="#,##0.0"/>
    <numFmt numFmtId="166" formatCode="0.000"/>
    <numFmt numFmtId="167" formatCode="#,##0.0000"/>
    <numFmt numFmtId="168" formatCode="0.00000"/>
    <numFmt numFmtId="169" formatCode="0.0000000"/>
  </numFmts>
  <fonts count="78" x14ac:knownFonts="1">
    <font>
      <sz val="11"/>
      <color rgb="FF000000"/>
      <name val="Calibri"/>
      <family val="2"/>
      <charset val="1"/>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sz val="11"/>
      <color rgb="FF0066CC"/>
      <name val="Arial Narrow"/>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sz val="10"/>
      <name val="Arial Narrow"/>
      <family val="2"/>
      <charset val="1"/>
    </font>
    <font>
      <b/>
      <sz val="11"/>
      <name val="Arial Narrow"/>
      <family val="2"/>
      <charset val="1"/>
    </font>
    <font>
      <b/>
      <sz val="12"/>
      <color rgb="FFFFFFFF"/>
      <name val="Arial Narrow"/>
      <family val="2"/>
      <charset val="1"/>
    </font>
    <font>
      <sz val="11"/>
      <color rgb="FFFF0000"/>
      <name val="Calibri"/>
      <family val="2"/>
      <charset val="1"/>
    </font>
    <font>
      <sz val="10"/>
      <color rgb="FF000000"/>
      <name val="Arial Narrow"/>
      <family val="2"/>
      <charset val="1"/>
    </font>
    <font>
      <b/>
      <sz val="12"/>
      <color rgb="FF0066CC"/>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b/>
      <sz val="11"/>
      <color rgb="FFFF0000"/>
      <name val="Arial Narrow"/>
      <family val="2"/>
      <charset val="1"/>
    </font>
    <font>
      <sz val="11"/>
      <name val="Arial Narrow"/>
      <family val="2"/>
      <charset val="1"/>
    </font>
    <font>
      <sz val="11"/>
      <color rgb="FFFF0000"/>
      <name val="Arial Narrow"/>
      <family val="2"/>
      <charset val="1"/>
    </font>
    <font>
      <b/>
      <sz val="11"/>
      <color rgb="FFCCFFFF"/>
      <name val="Arial Narrow"/>
      <family val="2"/>
      <charset val="1"/>
    </font>
    <font>
      <b/>
      <i/>
      <sz val="13"/>
      <color rgb="FF0070C0"/>
      <name val="Arial Narrow"/>
      <family val="2"/>
      <charset val="1"/>
    </font>
    <font>
      <b/>
      <sz val="10"/>
      <color rgb="FF808080"/>
      <name val="Arial Narrow"/>
      <family val="2"/>
      <charset val="1"/>
    </font>
    <font>
      <sz val="9"/>
      <color rgb="FF1F497D"/>
      <name val="Arial Narrow"/>
      <family val="2"/>
      <charset val="1"/>
    </font>
    <font>
      <sz val="11"/>
      <color rgb="FF000000"/>
      <name val="Calibri"/>
      <family val="2"/>
      <charset val="1"/>
    </font>
    <font>
      <sz val="11"/>
      <color rgb="FF000000"/>
      <name val="Arial Narrow"/>
      <family val="2"/>
    </font>
    <font>
      <sz val="10"/>
      <name val="Arial"/>
      <family val="2"/>
    </font>
    <font>
      <b/>
      <sz val="11"/>
      <color rgb="FF000000"/>
      <name val="Arial Narrow"/>
      <family val="2"/>
    </font>
    <font>
      <b/>
      <sz val="11"/>
      <color rgb="FF000000"/>
      <name val="Calibri"/>
      <family val="2"/>
    </font>
    <font>
      <b/>
      <sz val="10"/>
      <color theme="1"/>
      <name val="Arial Narrow"/>
      <family val="2"/>
      <charset val="1"/>
    </font>
    <font>
      <b/>
      <sz val="11"/>
      <color theme="1"/>
      <name val="Arial Narrow"/>
      <family val="2"/>
      <charset val="1"/>
    </font>
    <font>
      <sz val="11"/>
      <color rgb="FF1F497D"/>
      <name val="Arial Narrow"/>
      <family val="2"/>
    </font>
    <font>
      <sz val="10"/>
      <name val="Arial Narrow"/>
      <family val="2"/>
    </font>
    <font>
      <sz val="11"/>
      <color rgb="FF000000"/>
      <name val="Calibri"/>
      <family val="2"/>
    </font>
    <font>
      <b/>
      <sz val="17"/>
      <color rgb="FFFFFFFF"/>
      <name val="Arial Narrow"/>
      <family val="2"/>
    </font>
    <font>
      <b/>
      <sz val="10"/>
      <name val="Arial Narrow"/>
      <family val="2"/>
    </font>
    <font>
      <sz val="11"/>
      <color theme="0"/>
      <name val="Arial Narrow"/>
      <family val="2"/>
      <charset val="1"/>
    </font>
    <font>
      <sz val="10"/>
      <color theme="0"/>
      <name val="Arial Narrow"/>
      <family val="2"/>
      <charset val="1"/>
    </font>
    <font>
      <sz val="10"/>
      <color theme="1"/>
      <name val="Arial Narrow"/>
      <family val="2"/>
    </font>
    <font>
      <sz val="12"/>
      <color rgb="FF1F497D"/>
      <name val="Arial Narrow"/>
      <family val="2"/>
    </font>
    <font>
      <sz val="11"/>
      <name val="Arial Narrow"/>
      <family val="2"/>
    </font>
    <font>
      <b/>
      <sz val="18"/>
      <color rgb="FF000000"/>
      <name val="Arial Narrow"/>
      <family val="2"/>
    </font>
    <font>
      <b/>
      <sz val="14"/>
      <color rgb="FF0066CC"/>
      <name val="Arial Narrow"/>
      <family val="2"/>
    </font>
    <font>
      <sz val="14"/>
      <color rgb="FF000000"/>
      <name val="Arial Narrow"/>
      <family val="2"/>
    </font>
    <font>
      <b/>
      <sz val="17"/>
      <color rgb="FFFFFFFF"/>
      <name val="Arial Narrow"/>
      <family val="2"/>
      <charset val="1"/>
    </font>
    <font>
      <b/>
      <sz val="11"/>
      <name val="Arial Narrow"/>
      <family val="2"/>
    </font>
    <font>
      <sz val="11"/>
      <color theme="1"/>
      <name val="Arial Narrow"/>
      <family val="2"/>
    </font>
    <font>
      <b/>
      <sz val="11"/>
      <color theme="1"/>
      <name val="Arial Narrow"/>
      <family val="2"/>
    </font>
    <font>
      <b/>
      <i/>
      <sz val="11"/>
      <color rgb="FF0070C0"/>
      <name val="Arial Narrow"/>
      <family val="2"/>
      <charset val="1"/>
    </font>
    <font>
      <b/>
      <vertAlign val="subscript"/>
      <sz val="11"/>
      <color rgb="FF000000"/>
      <name val="Arial Narrow"/>
      <family val="2"/>
      <charset val="1"/>
    </font>
    <font>
      <b/>
      <sz val="11"/>
      <color theme="9" tint="-0.249977111117893"/>
      <name val="Arial Narrow"/>
      <family val="2"/>
    </font>
    <font>
      <b/>
      <sz val="14"/>
      <name val="Arial Narrow"/>
      <family val="2"/>
    </font>
    <font>
      <sz val="14"/>
      <name val="Arial Narrow"/>
      <family val="2"/>
      <charset val="1"/>
    </font>
    <font>
      <b/>
      <sz val="14"/>
      <name val="Arial Narrow"/>
      <family val="2"/>
      <charset val="1"/>
    </font>
    <font>
      <b/>
      <vertAlign val="subscript"/>
      <sz val="11"/>
      <color rgb="FF000000"/>
      <name val="Arial Narrow"/>
      <family val="2"/>
    </font>
    <font>
      <b/>
      <vertAlign val="subscript"/>
      <sz val="17"/>
      <color rgb="FFFFFFFF"/>
      <name val="Arial Narrow"/>
      <family val="2"/>
    </font>
    <font>
      <b/>
      <vertAlign val="subscript"/>
      <sz val="11"/>
      <name val="Arial Narrow"/>
      <family val="2"/>
    </font>
    <font>
      <vertAlign val="subscript"/>
      <sz val="11"/>
      <name val="Arial Narrow"/>
      <family val="2"/>
    </font>
    <font>
      <vertAlign val="subscript"/>
      <sz val="11"/>
      <color theme="0"/>
      <name val="Arial Narrow"/>
      <family val="2"/>
      <charset val="1"/>
    </font>
    <font>
      <vertAlign val="subscript"/>
      <sz val="10"/>
      <color theme="0"/>
      <name val="Arial Narrow"/>
      <family val="2"/>
      <charset val="1"/>
    </font>
    <font>
      <b/>
      <sz val="10"/>
      <color theme="1"/>
      <name val="Arial Narrow"/>
      <family val="2"/>
    </font>
    <font>
      <b/>
      <vertAlign val="subscript"/>
      <sz val="14"/>
      <name val="Arial Narrow"/>
      <family val="2"/>
    </font>
    <font>
      <b/>
      <vertAlign val="subscript"/>
      <sz val="11"/>
      <color theme="9" tint="-0.249977111117893"/>
      <name val="Arial Narrow"/>
      <family val="2"/>
    </font>
  </fonts>
  <fills count="23">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solid">
        <fgColor rgb="FFDEDCE6"/>
        <bgColor rgb="FFF2F2F2"/>
      </patternFill>
    </fill>
    <fill>
      <patternFill patternType="solid">
        <fgColor theme="0"/>
        <bgColor rgb="FFF2F2F2"/>
      </patternFill>
    </fill>
    <fill>
      <patternFill patternType="solid">
        <fgColor rgb="FFFFFF00"/>
        <bgColor indexed="64"/>
      </patternFill>
    </fill>
    <fill>
      <patternFill patternType="solid">
        <fgColor theme="0"/>
        <bgColor rgb="FFC2829E"/>
      </patternFill>
    </fill>
    <fill>
      <patternFill patternType="solid">
        <fgColor rgb="FFFFFF00"/>
        <bgColor rgb="FFF2F2F2"/>
      </patternFill>
    </fill>
    <fill>
      <patternFill patternType="solid">
        <fgColor theme="0"/>
        <bgColor indexed="64"/>
      </patternFill>
    </fill>
    <fill>
      <patternFill patternType="solid">
        <fgColor theme="0"/>
        <bgColor rgb="FF443091"/>
      </patternFill>
    </fill>
    <fill>
      <patternFill patternType="solid">
        <fgColor theme="9" tint="0.39997558519241921"/>
        <bgColor indexed="64"/>
      </patternFill>
    </fill>
    <fill>
      <patternFill patternType="solid">
        <fgColor theme="9" tint="0.59999389629810485"/>
        <bgColor indexed="64"/>
      </patternFill>
    </fill>
    <fill>
      <patternFill patternType="solid">
        <fgColor rgb="FFDEDCE6"/>
        <bgColor indexed="64"/>
      </patternFill>
    </fill>
    <fill>
      <patternFill patternType="solid">
        <fgColor rgb="FF92D050"/>
        <bgColor indexed="64"/>
      </patternFill>
    </fill>
    <fill>
      <patternFill patternType="solid">
        <fgColor theme="9" tint="0.39994506668294322"/>
        <bgColor rgb="FF55308D"/>
      </patternFill>
    </fill>
    <fill>
      <patternFill patternType="solid">
        <fgColor theme="9" tint="-0.249977111117893"/>
        <bgColor rgb="FF55308D"/>
      </patternFill>
    </fill>
    <fill>
      <patternFill patternType="solid">
        <fgColor theme="9" tint="-0.249977111117893"/>
        <bgColor rgb="FF443091"/>
      </patternFill>
    </fill>
    <fill>
      <patternFill patternType="solid">
        <fgColor theme="9" tint="0.39997558519241921"/>
        <bgColor rgb="FFBF819E"/>
      </patternFill>
    </fill>
    <fill>
      <patternFill patternType="solid">
        <fgColor theme="9" tint="0.39997558519241921"/>
        <bgColor rgb="FFC2829E"/>
      </patternFill>
    </fill>
    <fill>
      <patternFill patternType="solid">
        <fgColor theme="9" tint="0.39997558519241921"/>
        <bgColor rgb="FFF2F2F2"/>
      </patternFill>
    </fill>
    <fill>
      <patternFill patternType="solid">
        <fgColor theme="9" tint="0.39997558519241921"/>
        <bgColor rgb="FFDDDDDD"/>
      </patternFill>
    </fill>
  </fills>
  <borders count="63">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style="thin">
        <color indexed="64"/>
      </left>
      <right/>
      <top style="thin">
        <color indexed="64"/>
      </top>
      <bottom style="medium">
        <color indexed="64"/>
      </bottom>
      <diagonal/>
    </border>
    <border>
      <left style="thin">
        <color auto="1"/>
      </left>
      <right style="thin">
        <color indexed="64"/>
      </right>
      <top style="medium">
        <color indexed="64"/>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s>
  <cellStyleXfs count="14">
    <xf numFmtId="0" fontId="0" fillId="0" borderId="0"/>
    <xf numFmtId="0" fontId="13" fillId="0" borderId="0" applyBorder="0" applyProtection="0"/>
    <xf numFmtId="0" fontId="1" fillId="2" borderId="1" applyProtection="0"/>
    <xf numFmtId="0" fontId="2" fillId="3" borderId="1" applyProtection="0"/>
    <xf numFmtId="164" fontId="39" fillId="0" borderId="0" applyBorder="0" applyProtection="0"/>
    <xf numFmtId="164" fontId="39" fillId="0" borderId="0" applyBorder="0" applyProtection="0"/>
    <xf numFmtId="164" fontId="39" fillId="0" borderId="0" applyBorder="0" applyProtection="0"/>
    <xf numFmtId="164" fontId="39" fillId="0" borderId="0" applyBorder="0" applyProtection="0"/>
    <xf numFmtId="0" fontId="3" fillId="0" borderId="0"/>
    <xf numFmtId="0" fontId="4" fillId="0" borderId="0"/>
    <xf numFmtId="0" fontId="3" fillId="0" borderId="0"/>
    <xf numFmtId="0" fontId="4" fillId="0" borderId="0"/>
    <xf numFmtId="0" fontId="5" fillId="0" borderId="0"/>
    <xf numFmtId="0" fontId="41" fillId="0" borderId="0"/>
  </cellStyleXfs>
  <cellXfs count="392">
    <xf numFmtId="0" fontId="0" fillId="0" borderId="0" xfId="0"/>
    <xf numFmtId="0" fontId="6" fillId="4" borderId="0" xfId="0" applyFont="1" applyFill="1"/>
    <xf numFmtId="0" fontId="0" fillId="4" borderId="0" xfId="0" applyFill="1"/>
    <xf numFmtId="0" fontId="15" fillId="4" borderId="0" xfId="1" applyFont="1" applyFill="1" applyBorder="1" applyAlignment="1" applyProtection="1">
      <alignment vertical="center"/>
    </xf>
    <xf numFmtId="0" fontId="17" fillId="4" borderId="0" xfId="1" applyFont="1" applyFill="1" applyBorder="1" applyAlignment="1" applyProtection="1">
      <alignment vertical="center"/>
    </xf>
    <xf numFmtId="0" fontId="20" fillId="4" borderId="0" xfId="1" applyFont="1" applyFill="1" applyBorder="1" applyAlignment="1" applyProtection="1">
      <alignment vertical="center"/>
    </xf>
    <xf numFmtId="0" fontId="23" fillId="4" borderId="0" xfId="0" applyFont="1" applyFill="1" applyAlignment="1">
      <alignment horizontal="right"/>
    </xf>
    <xf numFmtId="0" fontId="24" fillId="4" borderId="0" xfId="0" applyFont="1" applyFill="1" applyAlignment="1">
      <alignment vertical="center" wrapText="1"/>
    </xf>
    <xf numFmtId="0" fontId="27" fillId="4" borderId="0" xfId="0" applyFont="1" applyFill="1"/>
    <xf numFmtId="0" fontId="28" fillId="4" borderId="0" xfId="0" applyFont="1" applyFill="1" applyAlignment="1">
      <alignment horizontal="left" vertical="center" indent="15"/>
    </xf>
    <xf numFmtId="0" fontId="29" fillId="4" borderId="0" xfId="0" applyFont="1" applyFill="1" applyAlignment="1">
      <alignment vertical="center" wrapText="1"/>
    </xf>
    <xf numFmtId="0" fontId="31" fillId="4" borderId="0" xfId="0" applyFont="1" applyFill="1" applyAlignment="1">
      <alignment vertical="center" wrapText="1"/>
    </xf>
    <xf numFmtId="0" fontId="20" fillId="4" borderId="0" xfId="0" applyFont="1" applyFill="1"/>
    <xf numFmtId="0" fontId="33" fillId="4" borderId="0" xfId="0" applyFont="1" applyFill="1"/>
    <xf numFmtId="0" fontId="23" fillId="4" borderId="0" xfId="0" applyFont="1" applyFill="1"/>
    <xf numFmtId="0" fontId="31" fillId="4" borderId="0" xfId="0" applyFont="1" applyFill="1" applyAlignment="1">
      <alignment horizontal="right"/>
    </xf>
    <xf numFmtId="0" fontId="30" fillId="4" borderId="0" xfId="0" applyFont="1" applyFill="1"/>
    <xf numFmtId="167" fontId="35" fillId="4" borderId="0" xfId="0" applyNumberFormat="1" applyFont="1" applyFill="1" applyAlignment="1">
      <alignment vertical="center" wrapText="1"/>
    </xf>
    <xf numFmtId="4" fontId="31" fillId="4" borderId="0" xfId="0" applyNumberFormat="1" applyFont="1" applyFill="1" applyAlignment="1">
      <alignment horizontal="right" vertical="center" wrapText="1"/>
    </xf>
    <xf numFmtId="0" fontId="36" fillId="4" borderId="0" xfId="0" applyFont="1" applyFill="1" applyAlignment="1">
      <alignment vertical="center" wrapText="1"/>
    </xf>
    <xf numFmtId="0" fontId="36" fillId="4" borderId="3" xfId="0" applyFont="1" applyFill="1" applyBorder="1" applyAlignment="1">
      <alignment vertical="center" wrapText="1"/>
    </xf>
    <xf numFmtId="0" fontId="36" fillId="4" borderId="0" xfId="0" applyFont="1" applyFill="1" applyAlignment="1">
      <alignment vertical="top" wrapText="1"/>
    </xf>
    <xf numFmtId="0" fontId="32" fillId="4" borderId="0" xfId="0" applyFont="1" applyFill="1" applyAlignment="1">
      <alignment vertical="center"/>
    </xf>
    <xf numFmtId="1" fontId="0" fillId="0" borderId="0" xfId="0" applyNumberFormat="1"/>
    <xf numFmtId="167" fontId="35" fillId="4" borderId="0" xfId="0" applyNumberFormat="1" applyFont="1" applyFill="1" applyAlignment="1">
      <alignment horizontal="right" vertical="center" wrapText="1"/>
    </xf>
    <xf numFmtId="0" fontId="20" fillId="4" borderId="0" xfId="1" applyFont="1" applyFill="1" applyBorder="1" applyProtection="1"/>
    <xf numFmtId="0" fontId="20" fillId="4" borderId="0" xfId="1" applyFont="1" applyFill="1" applyBorder="1" applyAlignment="1" applyProtection="1">
      <alignment vertical="top"/>
    </xf>
    <xf numFmtId="2" fontId="0" fillId="0" borderId="0" xfId="0" applyNumberFormat="1"/>
    <xf numFmtId="0" fontId="43" fillId="12" borderId="0" xfId="0" applyFont="1" applyFill="1"/>
    <xf numFmtId="0" fontId="0" fillId="12" borderId="0" xfId="0" applyFill="1"/>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0" fillId="13" borderId="0" xfId="0" applyFill="1"/>
    <xf numFmtId="0" fontId="0" fillId="0" borderId="30" xfId="0" applyBorder="1"/>
    <xf numFmtId="0" fontId="0" fillId="0" borderId="31" xfId="0" applyBorder="1"/>
    <xf numFmtId="2" fontId="0" fillId="0" borderId="31" xfId="0" applyNumberFormat="1" applyBorder="1"/>
    <xf numFmtId="0" fontId="0" fillId="0" borderId="32" xfId="0" applyBorder="1"/>
    <xf numFmtId="0" fontId="43" fillId="0" borderId="0" xfId="0" applyFont="1"/>
    <xf numFmtId="0" fontId="48" fillId="0" borderId="0" xfId="0" applyFont="1"/>
    <xf numFmtId="0" fontId="22" fillId="4" borderId="0" xfId="0" applyFont="1" applyFill="1" applyAlignment="1">
      <alignment vertical="center" wrapText="1"/>
    </xf>
    <xf numFmtId="0" fontId="21" fillId="4" borderId="0" xfId="0" applyFont="1" applyFill="1"/>
    <xf numFmtId="0" fontId="44" fillId="4" borderId="0" xfId="0" applyFont="1" applyFill="1" applyAlignment="1">
      <alignment vertical="center"/>
    </xf>
    <xf numFmtId="0" fontId="26" fillId="4" borderId="0" xfId="0" applyFont="1" applyFill="1"/>
    <xf numFmtId="0" fontId="16" fillId="4" borderId="0" xfId="0" applyFont="1" applyFill="1" applyAlignment="1">
      <alignment horizontal="center" vertical="center"/>
    </xf>
    <xf numFmtId="4" fontId="44" fillId="4" borderId="0" xfId="0" applyNumberFormat="1" applyFont="1" applyFill="1" applyAlignment="1">
      <alignment horizontal="center" vertical="center"/>
    </xf>
    <xf numFmtId="0" fontId="0" fillId="9" borderId="0" xfId="0" applyFill="1"/>
    <xf numFmtId="0" fontId="16" fillId="9" borderId="0" xfId="0" applyFont="1" applyFill="1" applyAlignment="1">
      <alignment horizontal="center" vertical="center"/>
    </xf>
    <xf numFmtId="0" fontId="0" fillId="7" borderId="0" xfId="0" applyFill="1"/>
    <xf numFmtId="0" fontId="23" fillId="4" borderId="0" xfId="0" applyFont="1" applyFill="1" applyAlignment="1">
      <alignment horizontal="center"/>
    </xf>
    <xf numFmtId="0" fontId="0" fillId="0" borderId="32" xfId="0" applyBorder="1" applyAlignment="1">
      <alignment horizontal="center"/>
    </xf>
    <xf numFmtId="0" fontId="0" fillId="0" borderId="29" xfId="0" applyBorder="1" applyAlignment="1">
      <alignment horizontal="center"/>
    </xf>
    <xf numFmtId="166" fontId="0" fillId="0" borderId="0" xfId="0" applyNumberFormat="1"/>
    <xf numFmtId="166" fontId="0" fillId="0" borderId="29" xfId="0" applyNumberFormat="1" applyBorder="1"/>
    <xf numFmtId="0" fontId="0" fillId="0" borderId="26" xfId="0" applyBorder="1" applyAlignment="1">
      <alignment horizontal="center"/>
    </xf>
    <xf numFmtId="168" fontId="0" fillId="0" borderId="0" xfId="0" applyNumberFormat="1"/>
    <xf numFmtId="168" fontId="0" fillId="7" borderId="0" xfId="0" applyNumberFormat="1" applyFill="1"/>
    <xf numFmtId="169" fontId="0" fillId="0" borderId="0" xfId="0" applyNumberFormat="1"/>
    <xf numFmtId="168" fontId="0" fillId="0" borderId="31" xfId="0" applyNumberFormat="1" applyBorder="1"/>
    <xf numFmtId="169" fontId="0" fillId="15" borderId="0" xfId="0" applyNumberFormat="1" applyFill="1"/>
    <xf numFmtId="169" fontId="0" fillId="0" borderId="31" xfId="0" applyNumberFormat="1" applyBorder="1"/>
    <xf numFmtId="0" fontId="38" fillId="4" borderId="0" xfId="0" applyFont="1" applyFill="1" applyAlignment="1">
      <alignment horizontal="left" vertical="top" wrapText="1" indent="1"/>
    </xf>
    <xf numFmtId="0" fontId="44" fillId="4" borderId="0" xfId="0" applyFont="1" applyFill="1" applyAlignment="1">
      <alignment horizontal="center" vertical="center"/>
    </xf>
    <xf numFmtId="0" fontId="19" fillId="4" borderId="0" xfId="0" applyFont="1" applyFill="1" applyAlignment="1">
      <alignment vertical="center" wrapText="1"/>
    </xf>
    <xf numFmtId="0" fontId="18" fillId="8" borderId="0" xfId="0" applyFont="1" applyFill="1" applyAlignment="1">
      <alignment horizontal="right" vertical="center"/>
    </xf>
    <xf numFmtId="0" fontId="19" fillId="6" borderId="0" xfId="0" applyFont="1" applyFill="1" applyAlignment="1">
      <alignment vertical="center" wrapText="1"/>
    </xf>
    <xf numFmtId="0" fontId="18" fillId="8" borderId="0" xfId="0" applyFont="1" applyFill="1" applyAlignment="1">
      <alignment vertical="center"/>
    </xf>
    <xf numFmtId="0" fontId="19" fillId="4" borderId="0" xfId="0" applyFont="1" applyFill="1" applyAlignment="1">
      <alignment horizontal="center" vertical="center" wrapText="1"/>
    </xf>
    <xf numFmtId="0" fontId="18" fillId="8" borderId="0" xfId="0" applyFont="1" applyFill="1" applyAlignment="1">
      <alignment horizontal="center" vertical="center"/>
    </xf>
    <xf numFmtId="0" fontId="19" fillId="6" borderId="0" xfId="0" applyFont="1" applyFill="1" applyAlignment="1">
      <alignment horizontal="center" vertical="center" wrapText="1"/>
    </xf>
    <xf numFmtId="0" fontId="31" fillId="6" borderId="0" xfId="0" applyFont="1" applyFill="1" applyAlignment="1">
      <alignment vertical="center" wrapText="1"/>
    </xf>
    <xf numFmtId="4" fontId="35" fillId="4" borderId="0" xfId="0" applyNumberFormat="1" applyFont="1" applyFill="1" applyAlignment="1">
      <alignment horizontal="center" vertical="center" wrapText="1"/>
    </xf>
    <xf numFmtId="0" fontId="51" fillId="10" borderId="0" xfId="0" applyFont="1" applyFill="1"/>
    <xf numFmtId="0" fontId="52" fillId="10" borderId="0" xfId="0" applyFont="1" applyFill="1"/>
    <xf numFmtId="4" fontId="51" fillId="10" borderId="0" xfId="0" applyNumberFormat="1" applyFont="1" applyFill="1"/>
    <xf numFmtId="4" fontId="52" fillId="10" borderId="0" xfId="0" applyNumberFormat="1" applyFont="1" applyFill="1"/>
    <xf numFmtId="0" fontId="10" fillId="4" borderId="0" xfId="0" applyFont="1" applyFill="1" applyAlignment="1">
      <alignment vertical="center"/>
    </xf>
    <xf numFmtId="0" fontId="57" fillId="4" borderId="0" xfId="1" applyFont="1" applyFill="1" applyBorder="1" applyProtection="1"/>
    <xf numFmtId="4" fontId="6" fillId="5" borderId="22" xfId="0" applyNumberFormat="1" applyFont="1" applyFill="1" applyBorder="1" applyAlignment="1" applyProtection="1">
      <alignment horizontal="center" vertical="center"/>
      <protection locked="0"/>
    </xf>
    <xf numFmtId="1" fontId="6" fillId="5" borderId="22" xfId="0" applyNumberFormat="1" applyFont="1" applyFill="1" applyBorder="1" applyAlignment="1" applyProtection="1">
      <alignment horizontal="center" vertical="center"/>
      <protection locked="0"/>
    </xf>
    <xf numFmtId="1" fontId="6" fillId="0" borderId="22" xfId="0" applyNumberFormat="1" applyFont="1" applyBorder="1" applyAlignment="1">
      <alignment horizontal="center" vertical="center"/>
    </xf>
    <xf numFmtId="3" fontId="6" fillId="5" borderId="22" xfId="0" applyNumberFormat="1" applyFont="1" applyFill="1" applyBorder="1" applyAlignment="1" applyProtection="1">
      <alignment horizontal="center" vertical="center"/>
      <protection locked="0"/>
    </xf>
    <xf numFmtId="4" fontId="6" fillId="0" borderId="22" xfId="0" applyNumberFormat="1" applyFont="1" applyBorder="1" applyAlignment="1">
      <alignment horizontal="center" vertical="center"/>
    </xf>
    <xf numFmtId="1" fontId="6" fillId="5" borderId="33" xfId="0" applyNumberFormat="1" applyFont="1" applyFill="1" applyBorder="1" applyAlignment="1" applyProtection="1">
      <alignment horizontal="center" vertical="center"/>
      <protection locked="0"/>
    </xf>
    <xf numFmtId="1" fontId="6" fillId="0" borderId="33" xfId="0" applyNumberFormat="1" applyFont="1" applyBorder="1" applyAlignment="1">
      <alignment horizontal="center" vertical="center"/>
    </xf>
    <xf numFmtId="3" fontId="6" fillId="5" borderId="33" xfId="0" applyNumberFormat="1" applyFont="1" applyFill="1" applyBorder="1" applyAlignment="1" applyProtection="1">
      <alignment horizontal="center" vertical="center"/>
      <protection locked="0"/>
    </xf>
    <xf numFmtId="4" fontId="6" fillId="0" borderId="33" xfId="0" applyNumberFormat="1" applyFont="1" applyBorder="1" applyAlignment="1">
      <alignment horizontal="center" vertical="center"/>
    </xf>
    <xf numFmtId="1" fontId="6" fillId="5" borderId="39" xfId="0" applyNumberFormat="1" applyFont="1" applyFill="1" applyBorder="1" applyAlignment="1" applyProtection="1">
      <alignment horizontal="center" vertical="center"/>
      <protection locked="0"/>
    </xf>
    <xf numFmtId="1" fontId="6" fillId="0" borderId="39" xfId="0" applyNumberFormat="1" applyFont="1" applyBorder="1" applyAlignment="1">
      <alignment horizontal="center" vertical="center"/>
    </xf>
    <xf numFmtId="3" fontId="6" fillId="5" borderId="39" xfId="0" applyNumberFormat="1" applyFont="1" applyFill="1" applyBorder="1" applyAlignment="1" applyProtection="1">
      <alignment horizontal="center" vertical="center"/>
      <protection locked="0"/>
    </xf>
    <xf numFmtId="4" fontId="6" fillId="0" borderId="39" xfId="0" applyNumberFormat="1" applyFont="1" applyBorder="1" applyAlignment="1">
      <alignment horizontal="center" vertical="center"/>
    </xf>
    <xf numFmtId="4" fontId="6" fillId="0" borderId="22" xfId="0" applyNumberFormat="1" applyFont="1" applyBorder="1" applyAlignment="1" applyProtection="1">
      <alignment horizontal="center" vertical="center"/>
      <protection locked="0"/>
    </xf>
    <xf numFmtId="4" fontId="6" fillId="0" borderId="33" xfId="0" applyNumberFormat="1" applyFont="1" applyBorder="1" applyAlignment="1" applyProtection="1">
      <alignment horizontal="center" vertical="center"/>
      <protection locked="0"/>
    </xf>
    <xf numFmtId="4" fontId="6" fillId="5" borderId="33" xfId="0" applyNumberFormat="1" applyFont="1" applyFill="1" applyBorder="1" applyAlignment="1" applyProtection="1">
      <alignment horizontal="center" vertical="center"/>
      <protection locked="0"/>
    </xf>
    <xf numFmtId="4" fontId="6" fillId="0" borderId="39" xfId="0" applyNumberFormat="1" applyFont="1" applyBorder="1" applyAlignment="1" applyProtection="1">
      <alignment horizontal="center" vertical="center"/>
      <protection locked="0"/>
    </xf>
    <xf numFmtId="4" fontId="6" fillId="5" borderId="39" xfId="0" applyNumberFormat="1" applyFont="1" applyFill="1" applyBorder="1" applyAlignment="1" applyProtection="1">
      <alignment horizontal="center" vertical="center"/>
      <protection locked="0"/>
    </xf>
    <xf numFmtId="0" fontId="33" fillId="4" borderId="22" xfId="0" applyFont="1" applyFill="1" applyBorder="1" applyAlignment="1">
      <alignment horizontal="center"/>
    </xf>
    <xf numFmtId="0" fontId="33" fillId="4" borderId="33" xfId="0" applyFont="1" applyFill="1" applyBorder="1" applyAlignment="1">
      <alignment horizontal="center"/>
    </xf>
    <xf numFmtId="0" fontId="33" fillId="4" borderId="39" xfId="0" applyFont="1" applyFill="1" applyBorder="1" applyAlignment="1">
      <alignment horizontal="center"/>
    </xf>
    <xf numFmtId="0" fontId="63" fillId="4" borderId="0" xfId="0" applyFont="1" applyFill="1" applyAlignment="1">
      <alignment vertical="center" wrapText="1"/>
    </xf>
    <xf numFmtId="4" fontId="6" fillId="4" borderId="33" xfId="0" applyNumberFormat="1" applyFont="1" applyFill="1" applyBorder="1" applyAlignment="1">
      <alignment horizontal="center" vertical="center" wrapText="1"/>
    </xf>
    <xf numFmtId="4" fontId="6" fillId="0" borderId="33" xfId="0" applyNumberFormat="1" applyFont="1" applyBorder="1" applyAlignment="1">
      <alignment horizontal="center" vertical="center" wrapText="1"/>
    </xf>
    <xf numFmtId="4" fontId="19" fillId="4" borderId="0" xfId="0" applyNumberFormat="1" applyFont="1" applyFill="1" applyAlignment="1">
      <alignment horizontal="center" vertical="center" wrapText="1"/>
    </xf>
    <xf numFmtId="4" fontId="33" fillId="4" borderId="0" xfId="0" applyNumberFormat="1" applyFont="1" applyFill="1" applyAlignment="1">
      <alignment horizontal="center"/>
    </xf>
    <xf numFmtId="4" fontId="19" fillId="4" borderId="33" xfId="0" applyNumberFormat="1" applyFont="1" applyFill="1" applyBorder="1" applyAlignment="1">
      <alignment horizontal="center" vertical="center" wrapText="1"/>
    </xf>
    <xf numFmtId="4" fontId="19" fillId="4" borderId="0" xfId="0" applyNumberFormat="1" applyFont="1" applyFill="1" applyAlignment="1">
      <alignment horizontal="center" vertical="center"/>
    </xf>
    <xf numFmtId="4" fontId="6" fillId="0" borderId="23" xfId="0" applyNumberFormat="1" applyFont="1" applyBorder="1" applyAlignment="1">
      <alignment horizontal="center" vertical="center"/>
    </xf>
    <xf numFmtId="4" fontId="6" fillId="0" borderId="42" xfId="0" applyNumberFormat="1" applyFont="1" applyBorder="1" applyAlignment="1">
      <alignment horizontal="center" vertical="center"/>
    </xf>
    <xf numFmtId="4" fontId="6" fillId="0" borderId="40" xfId="0" applyNumberFormat="1" applyFont="1" applyBorder="1" applyAlignment="1">
      <alignment horizontal="center" vertical="center"/>
    </xf>
    <xf numFmtId="0" fontId="24" fillId="4" borderId="43" xfId="0" applyFont="1" applyFill="1" applyBorder="1" applyAlignment="1">
      <alignment horizontal="center"/>
    </xf>
    <xf numFmtId="0" fontId="24" fillId="4" borderId="44" xfId="0" applyFont="1" applyFill="1" applyBorder="1" applyAlignment="1">
      <alignment horizontal="center"/>
    </xf>
    <xf numFmtId="4" fontId="24" fillId="4" borderId="44" xfId="0" applyNumberFormat="1" applyFont="1" applyFill="1" applyBorder="1" applyAlignment="1">
      <alignment horizontal="center"/>
    </xf>
    <xf numFmtId="4" fontId="24" fillId="4" borderId="45" xfId="0" applyNumberFormat="1" applyFont="1" applyFill="1" applyBorder="1" applyAlignment="1">
      <alignment horizontal="center"/>
    </xf>
    <xf numFmtId="4" fontId="33" fillId="4" borderId="58" xfId="0" applyNumberFormat="1" applyFont="1" applyFill="1" applyBorder="1" applyAlignment="1">
      <alignment horizontal="center"/>
    </xf>
    <xf numFmtId="4" fontId="33" fillId="4" borderId="22" xfId="0" applyNumberFormat="1" applyFont="1" applyFill="1" applyBorder="1" applyAlignment="1">
      <alignment horizontal="center"/>
    </xf>
    <xf numFmtId="4" fontId="33" fillId="4" borderId="23" xfId="0" applyNumberFormat="1" applyFont="1" applyFill="1" applyBorder="1" applyAlignment="1">
      <alignment horizontal="center"/>
    </xf>
    <xf numFmtId="4" fontId="33" fillId="4" borderId="34" xfId="0" applyNumberFormat="1" applyFont="1" applyFill="1" applyBorder="1" applyAlignment="1">
      <alignment horizontal="center"/>
    </xf>
    <xf numFmtId="4" fontId="33" fillId="4" borderId="33" xfId="0" applyNumberFormat="1" applyFont="1" applyFill="1" applyBorder="1" applyAlignment="1">
      <alignment horizontal="center"/>
    </xf>
    <xf numFmtId="4" fontId="33" fillId="4" borderId="42" xfId="0" applyNumberFormat="1" applyFont="1" applyFill="1" applyBorder="1" applyAlignment="1">
      <alignment horizontal="center"/>
    </xf>
    <xf numFmtId="4" fontId="33" fillId="4" borderId="59" xfId="0" applyNumberFormat="1" applyFont="1" applyFill="1" applyBorder="1" applyAlignment="1">
      <alignment horizontal="center"/>
    </xf>
    <xf numFmtId="4" fontId="33" fillId="4" borderId="39" xfId="0" applyNumberFormat="1" applyFont="1" applyFill="1" applyBorder="1" applyAlignment="1">
      <alignment horizontal="center"/>
    </xf>
    <xf numFmtId="4" fontId="33" fillId="4" borderId="40" xfId="0" applyNumberFormat="1" applyFont="1" applyFill="1" applyBorder="1" applyAlignment="1">
      <alignment horizontal="center"/>
    </xf>
    <xf numFmtId="0" fontId="19" fillId="22" borderId="33" xfId="0" applyFont="1" applyFill="1" applyBorder="1" applyAlignment="1">
      <alignment horizontal="center" vertical="center" wrapText="1"/>
    </xf>
    <xf numFmtId="0" fontId="24" fillId="20" borderId="33" xfId="0" applyFont="1" applyFill="1" applyBorder="1" applyAlignment="1">
      <alignment horizontal="center" vertical="center"/>
    </xf>
    <xf numFmtId="0" fontId="18" fillId="22" borderId="7" xfId="0" applyFont="1" applyFill="1" applyBorder="1" applyAlignment="1">
      <alignment wrapText="1"/>
    </xf>
    <xf numFmtId="0" fontId="18" fillId="22" borderId="0" xfId="0" applyFont="1" applyFill="1" applyAlignment="1">
      <alignment wrapText="1"/>
    </xf>
    <xf numFmtId="0" fontId="18" fillId="22" borderId="0" xfId="0" applyFont="1" applyFill="1" applyAlignment="1">
      <alignment horizontal="left" wrapText="1"/>
    </xf>
    <xf numFmtId="0" fontId="18" fillId="22" borderId="7" xfId="0" applyFont="1" applyFill="1" applyBorder="1" applyAlignment="1">
      <alignment horizontal="center" vertical="center" wrapText="1"/>
    </xf>
    <xf numFmtId="0" fontId="18" fillId="22" borderId="0" xfId="0" applyFont="1" applyFill="1" applyAlignment="1">
      <alignment horizontal="center" vertical="center" wrapText="1"/>
    </xf>
    <xf numFmtId="0" fontId="18" fillId="22" borderId="0" xfId="0" applyFont="1" applyFill="1" applyAlignment="1">
      <alignment horizontal="left" vertical="center" wrapText="1"/>
    </xf>
    <xf numFmtId="0" fontId="31" fillId="22" borderId="9" xfId="0" applyFont="1" applyFill="1" applyBorder="1" applyAlignment="1">
      <alignment horizontal="left" vertical="center"/>
    </xf>
    <xf numFmtId="0" fontId="31" fillId="22" borderId="10" xfId="0" applyFont="1" applyFill="1" applyBorder="1" applyAlignment="1">
      <alignment horizontal="left" vertical="center"/>
    </xf>
    <xf numFmtId="165" fontId="6" fillId="22" borderId="0" xfId="0" applyNumberFormat="1" applyFont="1" applyFill="1" applyAlignment="1">
      <alignment horizontal="right"/>
    </xf>
    <xf numFmtId="0" fontId="19" fillId="22" borderId="0" xfId="0" applyFont="1" applyFill="1" applyAlignment="1">
      <alignment horizontal="right" vertical="center"/>
    </xf>
    <xf numFmtId="0" fontId="16" fillId="22" borderId="10" xfId="0" applyFont="1" applyFill="1" applyBorder="1" applyAlignment="1">
      <alignment horizontal="left" vertical="center"/>
    </xf>
    <xf numFmtId="0" fontId="37" fillId="22" borderId="4" xfId="0" applyFont="1" applyFill="1" applyBorder="1"/>
    <xf numFmtId="0" fontId="37" fillId="22" borderId="5" xfId="0" applyFont="1" applyFill="1" applyBorder="1"/>
    <xf numFmtId="0" fontId="37" fillId="22" borderId="5" xfId="0" applyFont="1" applyFill="1" applyBorder="1" applyAlignment="1">
      <alignment horizontal="left"/>
    </xf>
    <xf numFmtId="4" fontId="37" fillId="22" borderId="5" xfId="0" applyNumberFormat="1" applyFont="1" applyFill="1" applyBorder="1"/>
    <xf numFmtId="0" fontId="37" fillId="22" borderId="5" xfId="0" applyFont="1" applyFill="1" applyBorder="1" applyAlignment="1">
      <alignment horizontal="right"/>
    </xf>
    <xf numFmtId="4" fontId="31" fillId="22" borderId="10" xfId="0" applyNumberFormat="1" applyFont="1" applyFill="1" applyBorder="1" applyAlignment="1">
      <alignment horizontal="left" vertical="center"/>
    </xf>
    <xf numFmtId="4" fontId="29" fillId="22" borderId="0" xfId="0" applyNumberFormat="1" applyFont="1" applyFill="1" applyAlignment="1">
      <alignment horizontal="center"/>
    </xf>
    <xf numFmtId="0" fontId="65" fillId="10" borderId="0" xfId="1" applyFont="1" applyFill="1" applyBorder="1" applyProtection="1"/>
    <xf numFmtId="0" fontId="8" fillId="4" borderId="0" xfId="0" applyFont="1" applyFill="1" applyAlignment="1">
      <alignment vertical="center" wrapText="1"/>
    </xf>
    <xf numFmtId="0" fontId="9" fillId="4" borderId="0" xfId="0" applyFont="1" applyFill="1"/>
    <xf numFmtId="0" fontId="56" fillId="4" borderId="0" xfId="0" applyFont="1" applyFill="1" applyAlignment="1">
      <alignment vertical="center" wrapText="1"/>
    </xf>
    <xf numFmtId="0" fontId="9" fillId="4" borderId="0" xfId="0" applyFont="1" applyFill="1" applyAlignment="1">
      <alignment vertical="center"/>
    </xf>
    <xf numFmtId="0" fontId="10" fillId="4" borderId="0" xfId="0" applyFont="1" applyFill="1" applyAlignment="1">
      <alignment vertical="center" wrapText="1"/>
    </xf>
    <xf numFmtId="0" fontId="54" fillId="4" borderId="0" xfId="0" applyFont="1" applyFill="1" applyAlignment="1">
      <alignment vertical="center" wrapText="1"/>
    </xf>
    <xf numFmtId="0" fontId="40" fillId="4" borderId="0" xfId="0" applyFont="1" applyFill="1" applyAlignment="1">
      <alignment horizontal="left"/>
    </xf>
    <xf numFmtId="165" fontId="47" fillId="5" borderId="1" xfId="0" applyNumberFormat="1" applyFont="1" applyFill="1" applyBorder="1" applyAlignment="1">
      <alignment vertical="center" wrapText="1"/>
    </xf>
    <xf numFmtId="166" fontId="47" fillId="4" borderId="1" xfId="0" applyNumberFormat="1" applyFont="1" applyFill="1" applyBorder="1" applyAlignment="1">
      <alignment horizontal="right" vertical="center" wrapText="1"/>
    </xf>
    <xf numFmtId="0" fontId="40" fillId="4" borderId="0" xfId="0" applyFont="1" applyFill="1"/>
    <xf numFmtId="0" fontId="11" fillId="4" borderId="0" xfId="0" applyFont="1" applyFill="1"/>
    <xf numFmtId="0" fontId="67" fillId="4" borderId="0" xfId="0" applyFont="1" applyFill="1"/>
    <xf numFmtId="0" fontId="68" fillId="4" borderId="0" xfId="0" applyFont="1" applyFill="1"/>
    <xf numFmtId="0" fontId="57" fillId="4" borderId="0" xfId="0" applyFont="1" applyFill="1"/>
    <xf numFmtId="0" fontId="58" fillId="4" borderId="0" xfId="0" applyFont="1" applyFill="1"/>
    <xf numFmtId="0" fontId="12" fillId="4" borderId="0" xfId="0" applyFont="1" applyFill="1"/>
    <xf numFmtId="0" fontId="14" fillId="4" borderId="0" xfId="0" applyFont="1" applyFill="1"/>
    <xf numFmtId="0" fontId="42" fillId="4" borderId="0" xfId="0" applyFont="1" applyFill="1" applyAlignment="1">
      <alignment vertical="top" wrapText="1"/>
    </xf>
    <xf numFmtId="0" fontId="40" fillId="4" borderId="0" xfId="0" applyFont="1" applyFill="1" applyAlignment="1">
      <alignment vertical="top" wrapText="1"/>
    </xf>
    <xf numFmtId="0" fontId="6" fillId="4" borderId="0" xfId="0" applyFont="1" applyFill="1" applyAlignment="1">
      <alignment vertical="top" wrapText="1"/>
    </xf>
    <xf numFmtId="0" fontId="9" fillId="11" borderId="0" xfId="0" applyFont="1" applyFill="1" applyAlignment="1">
      <alignment vertical="center"/>
    </xf>
    <xf numFmtId="0" fontId="0" fillId="4" borderId="0" xfId="0" applyFill="1" applyAlignment="1">
      <alignment wrapText="1"/>
    </xf>
    <xf numFmtId="3" fontId="44" fillId="4" borderId="0" xfId="0" applyNumberFormat="1" applyFont="1" applyFill="1" applyAlignment="1">
      <alignment horizontal="center" vertical="center"/>
    </xf>
    <xf numFmtId="0" fontId="44" fillId="9" borderId="0" xfId="0" applyFont="1" applyFill="1" applyAlignment="1">
      <alignment horizontal="center" vertical="center"/>
    </xf>
    <xf numFmtId="4" fontId="6" fillId="0" borderId="37" xfId="0" applyNumberFormat="1" applyFont="1" applyBorder="1" applyAlignment="1">
      <alignment horizontal="center" vertical="center"/>
    </xf>
    <xf numFmtId="4" fontId="6" fillId="6" borderId="22" xfId="0" applyNumberFormat="1" applyFont="1" applyFill="1" applyBorder="1" applyAlignment="1">
      <alignment horizontal="center" vertical="center"/>
    </xf>
    <xf numFmtId="4" fontId="6" fillId="6" borderId="33" xfId="0" applyNumberFormat="1" applyFont="1" applyFill="1" applyBorder="1" applyAlignment="1">
      <alignment horizontal="center" vertical="center"/>
    </xf>
    <xf numFmtId="4" fontId="6" fillId="6" borderId="39" xfId="0" applyNumberFormat="1" applyFont="1" applyFill="1" applyBorder="1" applyAlignment="1">
      <alignment horizontal="center" vertical="center"/>
    </xf>
    <xf numFmtId="0" fontId="33" fillId="5" borderId="22" xfId="0" applyFont="1" applyFill="1" applyBorder="1" applyAlignment="1" applyProtection="1">
      <alignment horizontal="left"/>
      <protection locked="0"/>
    </xf>
    <xf numFmtId="0" fontId="33" fillId="5" borderId="33" xfId="0" applyFont="1" applyFill="1" applyBorder="1" applyAlignment="1" applyProtection="1">
      <alignment horizontal="left"/>
      <protection locked="0"/>
    </xf>
    <xf numFmtId="0" fontId="33" fillId="5" borderId="39" xfId="0" applyFont="1" applyFill="1" applyBorder="1" applyAlignment="1" applyProtection="1">
      <alignment horizontal="left"/>
      <protection locked="0"/>
    </xf>
    <xf numFmtId="4" fontId="6" fillId="6" borderId="13" xfId="0" applyNumberFormat="1" applyFont="1" applyFill="1" applyBorder="1" applyAlignment="1">
      <alignment horizontal="center" vertical="center"/>
    </xf>
    <xf numFmtId="3" fontId="6" fillId="6" borderId="13" xfId="0" applyNumberFormat="1" applyFont="1" applyFill="1" applyBorder="1" applyAlignment="1">
      <alignment horizontal="center" vertical="center"/>
    </xf>
    <xf numFmtId="1" fontId="6" fillId="6" borderId="33" xfId="0" applyNumberFormat="1" applyFont="1" applyFill="1" applyBorder="1" applyAlignment="1">
      <alignment horizontal="center" vertical="center"/>
    </xf>
    <xf numFmtId="4" fontId="6" fillId="6" borderId="42" xfId="0" applyNumberFormat="1" applyFont="1" applyFill="1" applyBorder="1" applyAlignment="1">
      <alignment horizontal="center" vertical="center"/>
    </xf>
    <xf numFmtId="4" fontId="6" fillId="6" borderId="37" xfId="0" applyNumberFormat="1" applyFont="1" applyFill="1" applyBorder="1" applyAlignment="1">
      <alignment horizontal="center" vertical="center"/>
    </xf>
    <xf numFmtId="1" fontId="6" fillId="6" borderId="37" xfId="0" applyNumberFormat="1" applyFont="1" applyFill="1" applyBorder="1" applyAlignment="1">
      <alignment horizontal="center" vertical="center"/>
    </xf>
    <xf numFmtId="3" fontId="6" fillId="6" borderId="12" xfId="0" applyNumberFormat="1" applyFont="1" applyFill="1" applyBorder="1" applyAlignment="1">
      <alignment horizontal="center" vertical="center"/>
    </xf>
    <xf numFmtId="4" fontId="6" fillId="6" borderId="12" xfId="0" applyNumberFormat="1" applyFont="1" applyFill="1" applyBorder="1" applyAlignment="1">
      <alignment horizontal="center" vertical="center"/>
    </xf>
    <xf numFmtId="4" fontId="6" fillId="6" borderId="51" xfId="0" applyNumberFormat="1" applyFont="1" applyFill="1" applyBorder="1" applyAlignment="1">
      <alignment horizontal="center" vertical="center"/>
    </xf>
    <xf numFmtId="1" fontId="6" fillId="6" borderId="22" xfId="0" applyNumberFormat="1" applyFont="1" applyFill="1" applyBorder="1" applyAlignment="1">
      <alignment horizontal="center" vertical="center"/>
    </xf>
    <xf numFmtId="3" fontId="6" fillId="6" borderId="22" xfId="0" applyNumberFormat="1" applyFont="1" applyFill="1" applyBorder="1" applyAlignment="1">
      <alignment horizontal="center" vertical="center"/>
    </xf>
    <xf numFmtId="4" fontId="6" fillId="6" borderId="23" xfId="0" applyNumberFormat="1" applyFont="1" applyFill="1" applyBorder="1" applyAlignment="1">
      <alignment horizontal="center" vertical="center"/>
    </xf>
    <xf numFmtId="1" fontId="6" fillId="6" borderId="39" xfId="0" applyNumberFormat="1" applyFont="1" applyFill="1" applyBorder="1" applyAlignment="1">
      <alignment horizontal="center" vertical="center"/>
    </xf>
    <xf numFmtId="3" fontId="6" fillId="6" borderId="53" xfId="0" applyNumberFormat="1" applyFont="1" applyFill="1" applyBorder="1" applyAlignment="1">
      <alignment horizontal="center" vertical="center"/>
    </xf>
    <xf numFmtId="4" fontId="6" fillId="6" borderId="53" xfId="0" applyNumberFormat="1" applyFont="1" applyFill="1" applyBorder="1" applyAlignment="1">
      <alignment horizontal="center" vertical="center"/>
    </xf>
    <xf numFmtId="4" fontId="6" fillId="6" borderId="40" xfId="0" applyNumberFormat="1" applyFont="1" applyFill="1" applyBorder="1" applyAlignment="1">
      <alignment horizontal="center" vertical="center"/>
    </xf>
    <xf numFmtId="0" fontId="0" fillId="0" borderId="27" xfId="0" applyBorder="1" applyAlignment="1">
      <alignment horizontal="center"/>
    </xf>
    <xf numFmtId="0" fontId="40" fillId="4" borderId="0" xfId="0" applyFont="1" applyFill="1" applyAlignment="1">
      <alignment horizontal="left" wrapText="1"/>
    </xf>
    <xf numFmtId="0" fontId="24" fillId="19" borderId="51" xfId="0" applyFont="1" applyFill="1" applyBorder="1" applyAlignment="1">
      <alignment horizontal="center" vertical="center" wrapText="1"/>
    </xf>
    <xf numFmtId="4" fontId="45" fillId="4" borderId="53" xfId="0" applyNumberFormat="1" applyFont="1" applyFill="1" applyBorder="1" applyAlignment="1">
      <alignment horizontal="center" vertical="center"/>
    </xf>
    <xf numFmtId="0" fontId="45" fillId="4" borderId="52" xfId="0" applyFont="1" applyFill="1" applyBorder="1" applyAlignment="1">
      <alignment horizontal="center" vertical="center"/>
    </xf>
    <xf numFmtId="0" fontId="45" fillId="4" borderId="53" xfId="0" applyFont="1" applyFill="1" applyBorder="1" applyAlignment="1">
      <alignment horizontal="center" vertical="center"/>
    </xf>
    <xf numFmtId="3" fontId="45" fillId="4" borderId="53" xfId="0" applyNumberFormat="1" applyFont="1" applyFill="1" applyBorder="1" applyAlignment="1">
      <alignment horizontal="center" vertical="center"/>
    </xf>
    <xf numFmtId="4" fontId="45" fillId="4" borderId="54" xfId="0" applyNumberFormat="1" applyFont="1" applyFill="1" applyBorder="1" applyAlignment="1">
      <alignment horizontal="center" vertical="center"/>
    </xf>
    <xf numFmtId="4" fontId="6" fillId="0" borderId="13" xfId="0" applyNumberFormat="1" applyFont="1" applyBorder="1" applyAlignment="1" applyProtection="1">
      <alignment horizontal="center" vertical="center"/>
      <protection locked="0"/>
    </xf>
    <xf numFmtId="0" fontId="33" fillId="6" borderId="0" xfId="0" applyFont="1" applyFill="1"/>
    <xf numFmtId="0" fontId="23" fillId="6" borderId="0" xfId="0" applyFont="1" applyFill="1"/>
    <xf numFmtId="4" fontId="33" fillId="5" borderId="22" xfId="0" applyNumberFormat="1" applyFont="1" applyFill="1" applyBorder="1" applyAlignment="1" applyProtection="1">
      <alignment horizontal="center"/>
      <protection locked="0"/>
    </xf>
    <xf numFmtId="4" fontId="33" fillId="5" borderId="33" xfId="0" applyNumberFormat="1" applyFont="1" applyFill="1" applyBorder="1" applyAlignment="1" applyProtection="1">
      <alignment horizontal="center"/>
      <protection locked="0"/>
    </xf>
    <xf numFmtId="4" fontId="33" fillId="5" borderId="39" xfId="0" applyNumberFormat="1" applyFont="1" applyFill="1" applyBorder="1" applyAlignment="1" applyProtection="1">
      <alignment horizontal="center"/>
      <protection locked="0"/>
    </xf>
    <xf numFmtId="4" fontId="34" fillId="5" borderId="33" xfId="0" applyNumberFormat="1" applyFont="1" applyFill="1" applyBorder="1" applyAlignment="1" applyProtection="1">
      <alignment horizontal="center" vertical="center" wrapText="1"/>
      <protection locked="0"/>
    </xf>
    <xf numFmtId="4" fontId="6" fillId="0" borderId="53" xfId="0" applyNumberFormat="1" applyFont="1" applyBorder="1" applyAlignment="1" applyProtection="1">
      <alignment horizontal="center" vertical="center"/>
      <protection locked="0"/>
    </xf>
    <xf numFmtId="0" fontId="26" fillId="0" borderId="28" xfId="0" applyFont="1" applyBorder="1"/>
    <xf numFmtId="166" fontId="0" fillId="0" borderId="31" xfId="0" applyNumberFormat="1" applyBorder="1"/>
    <xf numFmtId="166" fontId="0" fillId="0" borderId="32" xfId="0" applyNumberFormat="1" applyBorder="1"/>
    <xf numFmtId="0" fontId="24" fillId="19" borderId="37" xfId="0" applyFont="1" applyFill="1" applyBorder="1" applyAlignment="1">
      <alignment horizontal="center" vertical="center" wrapText="1"/>
    </xf>
    <xf numFmtId="0" fontId="33" fillId="10" borderId="0" xfId="0" applyFont="1" applyFill="1"/>
    <xf numFmtId="0" fontId="23" fillId="10" borderId="0" xfId="0" applyFont="1" applyFill="1"/>
    <xf numFmtId="0" fontId="42" fillId="4" borderId="0" xfId="0" applyFont="1" applyFill="1" applyAlignment="1">
      <alignment horizontal="left" vertical="top" wrapText="1"/>
    </xf>
    <xf numFmtId="0" fontId="66" fillId="13" borderId="0" xfId="1" applyFont="1" applyFill="1" applyBorder="1" applyProtection="1"/>
    <xf numFmtId="0" fontId="7" fillId="4" borderId="0" xfId="0" applyFont="1" applyFill="1" applyAlignment="1">
      <alignment horizontal="center" vertical="center" wrapText="1"/>
    </xf>
    <xf numFmtId="0" fontId="66" fillId="16" borderId="0" xfId="0" applyFont="1" applyFill="1" applyAlignment="1">
      <alignment horizontal="center" vertical="center" wrapText="1"/>
    </xf>
    <xf numFmtId="0" fontId="66" fillId="16" borderId="0" xfId="0" applyFont="1" applyFill="1" applyAlignment="1">
      <alignment horizontal="center" vertical="center"/>
    </xf>
    <xf numFmtId="0" fontId="68" fillId="4" borderId="0" xfId="0" applyFont="1" applyFill="1" applyAlignment="1">
      <alignment horizontal="center"/>
    </xf>
    <xf numFmtId="0" fontId="42" fillId="4" borderId="0" xfId="0" applyFont="1" applyFill="1" applyAlignment="1">
      <alignment horizontal="left" wrapText="1"/>
    </xf>
    <xf numFmtId="0" fontId="40" fillId="4" borderId="0" xfId="0" applyFont="1" applyFill="1" applyAlignment="1">
      <alignment horizontal="left" wrapText="1"/>
    </xf>
    <xf numFmtId="0" fontId="42" fillId="4" borderId="0" xfId="0" applyFont="1" applyFill="1" applyAlignment="1">
      <alignment horizontal="left"/>
    </xf>
    <xf numFmtId="0" fontId="40" fillId="4" borderId="14" xfId="0" applyFont="1" applyFill="1" applyBorder="1" applyAlignment="1">
      <alignment horizontal="left" vertical="top" wrapText="1"/>
    </xf>
    <xf numFmtId="0" fontId="40" fillId="4" borderId="24" xfId="0" applyFont="1" applyFill="1" applyBorder="1" applyAlignment="1">
      <alignment horizontal="left" vertical="top" wrapText="1"/>
    </xf>
    <xf numFmtId="0" fontId="40" fillId="4" borderId="15" xfId="0" applyFont="1" applyFill="1" applyBorder="1" applyAlignment="1">
      <alignment horizontal="left" vertical="top" wrapText="1"/>
    </xf>
    <xf numFmtId="0" fontId="40" fillId="4" borderId="16" xfId="0" applyFont="1" applyFill="1" applyBorder="1" applyAlignment="1">
      <alignment horizontal="left" vertical="top" wrapText="1"/>
    </xf>
    <xf numFmtId="0" fontId="40" fillId="4" borderId="0" xfId="0" applyFont="1" applyFill="1" applyAlignment="1">
      <alignment horizontal="left" vertical="top" wrapText="1"/>
    </xf>
    <xf numFmtId="0" fontId="40" fillId="4" borderId="17" xfId="0" applyFont="1" applyFill="1" applyBorder="1" applyAlignment="1">
      <alignment horizontal="left" vertical="top" wrapText="1"/>
    </xf>
    <xf numFmtId="0" fontId="40" fillId="4" borderId="18" xfId="0" applyFont="1" applyFill="1" applyBorder="1" applyAlignment="1">
      <alignment horizontal="left" vertical="top" wrapText="1"/>
    </xf>
    <xf numFmtId="0" fontId="40" fillId="4" borderId="20" xfId="0" applyFont="1" applyFill="1" applyBorder="1" applyAlignment="1">
      <alignment horizontal="left" vertical="top" wrapText="1"/>
    </xf>
    <xf numFmtId="0" fontId="40" fillId="4" borderId="19" xfId="0" applyFont="1" applyFill="1" applyBorder="1" applyAlignment="1">
      <alignment horizontal="left" vertical="top" wrapText="1"/>
    </xf>
    <xf numFmtId="0" fontId="49" fillId="17" borderId="0" xfId="0" applyFont="1" applyFill="1" applyAlignment="1">
      <alignment horizontal="center" vertical="center" wrapText="1"/>
    </xf>
    <xf numFmtId="4" fontId="62" fillId="4" borderId="44" xfId="0" applyNumberFormat="1" applyFont="1" applyFill="1" applyBorder="1" applyAlignment="1">
      <alignment horizontal="center" vertical="center"/>
    </xf>
    <xf numFmtId="0" fontId="60" fillId="4" borderId="43" xfId="0" applyFont="1" applyFill="1" applyBorder="1" applyAlignment="1">
      <alignment horizontal="center" vertical="center"/>
    </xf>
    <xf numFmtId="0" fontId="60" fillId="4" borderId="44" xfId="0" applyFont="1" applyFill="1" applyBorder="1" applyAlignment="1">
      <alignment horizontal="center" vertical="center"/>
    </xf>
    <xf numFmtId="0" fontId="62" fillId="4" borderId="44" xfId="0" applyFont="1" applyFill="1" applyBorder="1" applyAlignment="1">
      <alignment horizontal="center" vertical="center"/>
    </xf>
    <xf numFmtId="0" fontId="62" fillId="4" borderId="45" xfId="0" applyFont="1" applyFill="1" applyBorder="1" applyAlignment="1">
      <alignment horizontal="center" vertical="center"/>
    </xf>
    <xf numFmtId="0" fontId="24" fillId="21" borderId="25" xfId="0" applyFont="1" applyFill="1" applyBorder="1" applyAlignment="1">
      <alignment horizontal="center" vertical="center"/>
    </xf>
    <xf numFmtId="0" fontId="24" fillId="21" borderId="46" xfId="0" applyFont="1" applyFill="1" applyBorder="1" applyAlignment="1">
      <alignment horizontal="center" vertical="center"/>
    </xf>
    <xf numFmtId="0" fontId="24" fillId="21" borderId="30" xfId="0" applyFont="1" applyFill="1" applyBorder="1" applyAlignment="1">
      <alignment horizontal="center" vertical="center"/>
    </xf>
    <xf numFmtId="0" fontId="24" fillId="21" borderId="48" xfId="0" applyFont="1" applyFill="1" applyBorder="1" applyAlignment="1">
      <alignment horizontal="center" vertical="center"/>
    </xf>
    <xf numFmtId="0" fontId="24" fillId="21" borderId="47" xfId="0" applyFont="1" applyFill="1" applyBorder="1" applyAlignment="1">
      <alignment horizontal="center" vertical="center"/>
    </xf>
    <xf numFmtId="0" fontId="24" fillId="21" borderId="49" xfId="0" applyFont="1" applyFill="1" applyBorder="1" applyAlignment="1">
      <alignment horizontal="center" vertical="center"/>
    </xf>
    <xf numFmtId="0" fontId="24" fillId="21" borderId="47" xfId="0" applyFont="1" applyFill="1" applyBorder="1" applyAlignment="1">
      <alignment horizontal="center" vertical="center" wrapText="1"/>
    </xf>
    <xf numFmtId="0" fontId="24" fillId="21" borderId="46" xfId="0" applyFont="1" applyFill="1" applyBorder="1" applyAlignment="1">
      <alignment horizontal="center" vertical="center" wrapText="1"/>
    </xf>
    <xf numFmtId="0" fontId="24" fillId="21" borderId="49" xfId="0" applyFont="1" applyFill="1" applyBorder="1" applyAlignment="1">
      <alignment horizontal="center" vertical="center" wrapText="1"/>
    </xf>
    <xf numFmtId="0" fontId="24" fillId="21" borderId="48" xfId="0" applyFont="1" applyFill="1" applyBorder="1" applyAlignment="1">
      <alignment horizontal="center" vertical="center" wrapText="1"/>
    </xf>
    <xf numFmtId="0" fontId="24" fillId="21" borderId="27" xfId="0" applyFont="1" applyFill="1" applyBorder="1" applyAlignment="1">
      <alignment horizontal="center" vertical="center"/>
    </xf>
    <xf numFmtId="0" fontId="24" fillId="21" borderId="32" xfId="0" applyFont="1" applyFill="1" applyBorder="1" applyAlignment="1">
      <alignment horizontal="center" vertical="center"/>
    </xf>
    <xf numFmtId="0" fontId="40" fillId="5" borderId="41" xfId="0" applyFont="1" applyFill="1" applyBorder="1" applyAlignment="1" applyProtection="1">
      <alignment horizontal="center"/>
      <protection locked="0"/>
    </xf>
    <xf numFmtId="0" fontId="40" fillId="5" borderId="33" xfId="0" applyFont="1" applyFill="1" applyBorder="1" applyAlignment="1" applyProtection="1">
      <alignment horizontal="center"/>
      <protection locked="0"/>
    </xf>
    <xf numFmtId="4" fontId="40" fillId="5" borderId="33" xfId="0" applyNumberFormat="1" applyFont="1" applyFill="1" applyBorder="1" applyAlignment="1" applyProtection="1">
      <alignment horizontal="center"/>
      <protection locked="0"/>
    </xf>
    <xf numFmtId="0" fontId="61" fillId="5" borderId="33" xfId="0" applyFont="1" applyFill="1" applyBorder="1" applyAlignment="1" applyProtection="1">
      <alignment horizontal="center" vertical="center"/>
      <protection locked="0"/>
    </xf>
    <xf numFmtId="1" fontId="61" fillId="6" borderId="33" xfId="0" applyNumberFormat="1" applyFont="1" applyFill="1" applyBorder="1" applyAlignment="1">
      <alignment horizontal="center" vertical="center"/>
    </xf>
    <xf numFmtId="0" fontId="61" fillId="6" borderId="42" xfId="0" applyFont="1" applyFill="1" applyBorder="1" applyAlignment="1">
      <alignment horizontal="center" vertical="center"/>
    </xf>
    <xf numFmtId="0" fontId="40" fillId="5" borderId="22" xfId="0" applyFont="1" applyFill="1" applyBorder="1" applyAlignment="1" applyProtection="1">
      <alignment horizontal="center"/>
      <protection locked="0"/>
    </xf>
    <xf numFmtId="4" fontId="40" fillId="5" borderId="22" xfId="0" applyNumberFormat="1" applyFont="1" applyFill="1" applyBorder="1" applyAlignment="1" applyProtection="1">
      <alignment horizontal="center"/>
      <protection locked="0"/>
    </xf>
    <xf numFmtId="0" fontId="40" fillId="5" borderId="21" xfId="0" applyFont="1" applyFill="1" applyBorder="1" applyAlignment="1" applyProtection="1">
      <alignment horizontal="center"/>
      <protection locked="0"/>
    </xf>
    <xf numFmtId="0" fontId="61" fillId="14" borderId="33" xfId="0" applyFont="1" applyFill="1" applyBorder="1" applyAlignment="1" applyProtection="1">
      <alignment horizontal="center" vertical="center"/>
      <protection locked="0"/>
    </xf>
    <xf numFmtId="4" fontId="61" fillId="14" borderId="33" xfId="0" applyNumberFormat="1" applyFont="1" applyFill="1" applyBorder="1" applyAlignment="1" applyProtection="1">
      <alignment horizontal="center" vertical="center"/>
      <protection locked="0"/>
    </xf>
    <xf numFmtId="1" fontId="61" fillId="10" borderId="33" xfId="0" applyNumberFormat="1" applyFont="1" applyFill="1" applyBorder="1" applyAlignment="1">
      <alignment horizontal="center" vertical="center"/>
    </xf>
    <xf numFmtId="0" fontId="61" fillId="10" borderId="42" xfId="0" applyFont="1" applyFill="1" applyBorder="1" applyAlignment="1">
      <alignment horizontal="center" vertical="center"/>
    </xf>
    <xf numFmtId="0" fontId="61" fillId="5" borderId="41" xfId="0" applyFont="1" applyFill="1" applyBorder="1" applyAlignment="1" applyProtection="1">
      <alignment horizontal="center" vertical="center"/>
      <protection locked="0"/>
    </xf>
    <xf numFmtId="4" fontId="61" fillId="5" borderId="33" xfId="0" applyNumberFormat="1" applyFont="1" applyFill="1" applyBorder="1" applyAlignment="1" applyProtection="1">
      <alignment horizontal="center" vertical="center"/>
      <protection locked="0"/>
    </xf>
    <xf numFmtId="0" fontId="22" fillId="4" borderId="0" xfId="0" applyFont="1" applyFill="1" applyAlignment="1">
      <alignment horizontal="left" vertical="center" wrapText="1"/>
    </xf>
    <xf numFmtId="0" fontId="44" fillId="4" borderId="0" xfId="0" applyFont="1" applyFill="1" applyAlignment="1">
      <alignment horizontal="center" vertical="center"/>
    </xf>
    <xf numFmtId="0" fontId="44" fillId="9" borderId="0" xfId="0" applyFont="1" applyFill="1" applyAlignment="1">
      <alignment horizontal="center" vertical="center"/>
    </xf>
    <xf numFmtId="0" fontId="55" fillId="4" borderId="14" xfId="0" applyFont="1" applyFill="1" applyBorder="1" applyAlignment="1">
      <alignment horizontal="left" vertical="center" wrapText="1"/>
    </xf>
    <xf numFmtId="0" fontId="55" fillId="4" borderId="24" xfId="0" applyFont="1" applyFill="1" applyBorder="1" applyAlignment="1">
      <alignment horizontal="left" vertical="center"/>
    </xf>
    <xf numFmtId="0" fontId="55" fillId="4" borderId="15" xfId="0" applyFont="1" applyFill="1" applyBorder="1" applyAlignment="1">
      <alignment horizontal="left" vertical="center"/>
    </xf>
    <xf numFmtId="0" fontId="55" fillId="4" borderId="16" xfId="0" applyFont="1" applyFill="1" applyBorder="1" applyAlignment="1">
      <alignment horizontal="left" vertical="center"/>
    </xf>
    <xf numFmtId="0" fontId="55" fillId="4" borderId="0" xfId="0" applyFont="1" applyFill="1" applyAlignment="1">
      <alignment horizontal="left" vertical="center"/>
    </xf>
    <xf numFmtId="0" fontId="55" fillId="4" borderId="17" xfId="0" applyFont="1" applyFill="1" applyBorder="1" applyAlignment="1">
      <alignment horizontal="left" vertical="center"/>
    </xf>
    <xf numFmtId="0" fontId="55" fillId="4" borderId="18" xfId="0" applyFont="1" applyFill="1" applyBorder="1" applyAlignment="1">
      <alignment horizontal="left" vertical="center"/>
    </xf>
    <xf numFmtId="0" fontId="55" fillId="4" borderId="20" xfId="0" applyFont="1" applyFill="1" applyBorder="1" applyAlignment="1">
      <alignment horizontal="left" vertical="center"/>
    </xf>
    <xf numFmtId="0" fontId="55" fillId="4" borderId="19" xfId="0" applyFont="1" applyFill="1" applyBorder="1" applyAlignment="1">
      <alignment horizontal="left" vertical="center"/>
    </xf>
    <xf numFmtId="0" fontId="61" fillId="14" borderId="41" xfId="0" applyFont="1" applyFill="1" applyBorder="1" applyAlignment="1" applyProtection="1">
      <alignment horizontal="center" vertical="center"/>
      <protection locked="0"/>
    </xf>
    <xf numFmtId="0" fontId="40" fillId="5" borderId="55" xfId="0" applyFont="1" applyFill="1" applyBorder="1" applyAlignment="1" applyProtection="1">
      <alignment horizontal="center" vertical="center"/>
      <protection locked="0"/>
    </xf>
    <xf numFmtId="0" fontId="40" fillId="5" borderId="56" xfId="0" applyFont="1" applyFill="1" applyBorder="1" applyAlignment="1" applyProtection="1">
      <alignment horizontal="center" vertical="center"/>
      <protection locked="0"/>
    </xf>
    <xf numFmtId="0" fontId="40" fillId="5" borderId="57" xfId="0" applyFont="1" applyFill="1" applyBorder="1" applyAlignment="1" applyProtection="1">
      <alignment horizontal="center" vertical="center"/>
      <protection locked="0"/>
    </xf>
    <xf numFmtId="1" fontId="40" fillId="6" borderId="33" xfId="0" applyNumberFormat="1" applyFont="1" applyFill="1" applyBorder="1" applyAlignment="1">
      <alignment horizontal="center"/>
    </xf>
    <xf numFmtId="0" fontId="40" fillId="6" borderId="42" xfId="0" applyFont="1" applyFill="1" applyBorder="1" applyAlignment="1">
      <alignment horizontal="center"/>
    </xf>
    <xf numFmtId="0" fontId="55" fillId="5" borderId="38" xfId="0" applyFont="1" applyFill="1" applyBorder="1" applyAlignment="1" applyProtection="1">
      <alignment horizontal="center" vertical="center"/>
      <protection locked="0"/>
    </xf>
    <xf numFmtId="0" fontId="55" fillId="5" borderId="39" xfId="0" applyFont="1" applyFill="1" applyBorder="1" applyAlignment="1" applyProtection="1">
      <alignment horizontal="center" vertical="center"/>
      <protection locked="0"/>
    </xf>
    <xf numFmtId="0" fontId="61" fillId="5" borderId="39" xfId="0" applyFont="1" applyFill="1" applyBorder="1" applyAlignment="1" applyProtection="1">
      <alignment horizontal="center" vertical="center"/>
      <protection locked="0"/>
    </xf>
    <xf numFmtId="4" fontId="61" fillId="5" borderId="39" xfId="0" applyNumberFormat="1" applyFont="1" applyFill="1" applyBorder="1" applyAlignment="1" applyProtection="1">
      <alignment horizontal="center" vertical="center"/>
      <protection locked="0"/>
    </xf>
    <xf numFmtId="1" fontId="61" fillId="6" borderId="39" xfId="0" applyNumberFormat="1" applyFont="1" applyFill="1" applyBorder="1" applyAlignment="1">
      <alignment horizontal="center" vertical="center"/>
    </xf>
    <xf numFmtId="1" fontId="61" fillId="6" borderId="40" xfId="0" applyNumberFormat="1" applyFont="1" applyFill="1" applyBorder="1" applyAlignment="1">
      <alignment horizontal="center" vertical="center"/>
    </xf>
    <xf numFmtId="0" fontId="24" fillId="19" borderId="43" xfId="0" applyFont="1" applyFill="1" applyBorder="1" applyAlignment="1">
      <alignment horizontal="center" vertical="center" wrapText="1"/>
    </xf>
    <xf numFmtId="0" fontId="24" fillId="19" borderId="44" xfId="0" applyFont="1" applyFill="1" applyBorder="1" applyAlignment="1">
      <alignment horizontal="center" vertical="center" wrapText="1"/>
    </xf>
    <xf numFmtId="0" fontId="24" fillId="19" borderId="45" xfId="0" applyFont="1" applyFill="1" applyBorder="1" applyAlignment="1">
      <alignment horizontal="center" vertical="center" wrapText="1"/>
    </xf>
    <xf numFmtId="1" fontId="40" fillId="6" borderId="22" xfId="0" applyNumberFormat="1" applyFont="1" applyFill="1" applyBorder="1" applyAlignment="1">
      <alignment horizontal="center"/>
    </xf>
    <xf numFmtId="0" fontId="40" fillId="6" borderId="23" xfId="0" applyFont="1" applyFill="1" applyBorder="1" applyAlignment="1">
      <alignment horizontal="center"/>
    </xf>
    <xf numFmtId="0" fontId="59" fillId="18" borderId="2" xfId="0" applyFont="1" applyFill="1" applyBorder="1" applyAlignment="1">
      <alignment horizontal="center" vertical="center"/>
    </xf>
    <xf numFmtId="0" fontId="59" fillId="18" borderId="0" xfId="0" applyFont="1" applyFill="1" applyAlignment="1">
      <alignment horizontal="center" vertical="center"/>
    </xf>
    <xf numFmtId="0" fontId="24" fillId="19" borderId="44" xfId="0" applyFont="1" applyFill="1" applyBorder="1" applyAlignment="1">
      <alignment horizontal="center" vertical="center"/>
    </xf>
    <xf numFmtId="0" fontId="24" fillId="19" borderId="45" xfId="0" applyFont="1" applyFill="1" applyBorder="1" applyAlignment="1">
      <alignment horizontal="center" vertical="center"/>
    </xf>
    <xf numFmtId="0" fontId="6" fillId="5" borderId="44" xfId="0" applyFont="1" applyFill="1" applyBorder="1" applyAlignment="1" applyProtection="1">
      <alignment horizontal="center"/>
      <protection locked="0"/>
    </xf>
    <xf numFmtId="0" fontId="6" fillId="5" borderId="45" xfId="0" applyFont="1" applyFill="1" applyBorder="1" applyAlignment="1" applyProtection="1">
      <alignment horizontal="center"/>
      <protection locked="0"/>
    </xf>
    <xf numFmtId="0" fontId="24" fillId="20" borderId="43" xfId="0" applyFont="1" applyFill="1" applyBorder="1" applyAlignment="1">
      <alignment horizontal="center" vertical="center" wrapText="1"/>
    </xf>
    <xf numFmtId="0" fontId="24" fillId="20" borderId="44" xfId="0" applyFont="1" applyFill="1" applyBorder="1" applyAlignment="1">
      <alignment horizontal="center" vertical="center" wrapText="1"/>
    </xf>
    <xf numFmtId="0" fontId="6" fillId="5" borderId="43" xfId="0" applyFont="1" applyFill="1" applyBorder="1" applyAlignment="1" applyProtection="1">
      <alignment horizontal="center"/>
      <protection locked="0"/>
    </xf>
    <xf numFmtId="0" fontId="6" fillId="5" borderId="43" xfId="0" applyFont="1" applyFill="1" applyBorder="1" applyAlignment="1" applyProtection="1">
      <alignment horizontal="center" vertical="center"/>
      <protection locked="0"/>
    </xf>
    <xf numFmtId="0" fontId="6" fillId="5" borderId="44" xfId="0" applyFont="1" applyFill="1" applyBorder="1" applyAlignment="1" applyProtection="1">
      <alignment horizontal="center" vertical="center"/>
      <protection locked="0"/>
    </xf>
    <xf numFmtId="0" fontId="6" fillId="5" borderId="45" xfId="0" applyFont="1" applyFill="1" applyBorder="1" applyAlignment="1" applyProtection="1">
      <alignment horizontal="center" vertical="center"/>
      <protection locked="0"/>
    </xf>
    <xf numFmtId="1" fontId="6" fillId="0" borderId="60" xfId="0" applyNumberFormat="1" applyFont="1" applyBorder="1" applyAlignment="1">
      <alignment horizontal="center" vertical="center"/>
    </xf>
    <xf numFmtId="1" fontId="6" fillId="0" borderId="12" xfId="0" applyNumberFormat="1" applyFont="1" applyBorder="1" applyAlignment="1">
      <alignment horizontal="center" vertical="center"/>
    </xf>
    <xf numFmtId="1" fontId="6" fillId="0" borderId="53" xfId="0" applyNumberFormat="1" applyFont="1" applyBorder="1" applyAlignment="1">
      <alignment horizontal="center" vertical="center"/>
    </xf>
    <xf numFmtId="3" fontId="6" fillId="14" borderId="60" xfId="0" applyNumberFormat="1" applyFont="1" applyFill="1" applyBorder="1" applyAlignment="1" applyProtection="1">
      <alignment horizontal="center" vertical="center"/>
      <protection locked="0"/>
    </xf>
    <xf numFmtId="3" fontId="6" fillId="14" borderId="12" xfId="0" applyNumberFormat="1" applyFont="1" applyFill="1" applyBorder="1" applyAlignment="1" applyProtection="1">
      <alignment horizontal="center" vertical="center"/>
      <protection locked="0"/>
    </xf>
    <xf numFmtId="3" fontId="6" fillId="14" borderId="53" xfId="0" applyNumberFormat="1" applyFont="1" applyFill="1" applyBorder="1" applyAlignment="1" applyProtection="1">
      <alignment horizontal="center" vertical="center"/>
      <protection locked="0"/>
    </xf>
    <xf numFmtId="0" fontId="24" fillId="19" borderId="22" xfId="0" applyFont="1" applyFill="1" applyBorder="1" applyAlignment="1">
      <alignment horizontal="center" vertical="center" wrapText="1"/>
    </xf>
    <xf numFmtId="0" fontId="24" fillId="19" borderId="37" xfId="0" applyFont="1" applyFill="1" applyBorder="1" applyAlignment="1">
      <alignment horizontal="center" vertical="center" wrapText="1"/>
    </xf>
    <xf numFmtId="0" fontId="46" fillId="4" borderId="0" xfId="0" applyFont="1" applyFill="1" applyAlignment="1">
      <alignment horizontal="left" vertical="top" wrapText="1"/>
    </xf>
    <xf numFmtId="0" fontId="24" fillId="19" borderId="21" xfId="0" applyFont="1" applyFill="1" applyBorder="1" applyAlignment="1">
      <alignment horizontal="center" vertical="center" wrapText="1"/>
    </xf>
    <xf numFmtId="0" fontId="24" fillId="19" borderId="41" xfId="0" applyFont="1" applyFill="1" applyBorder="1" applyAlignment="1">
      <alignment horizontal="center" vertical="center" wrapText="1"/>
    </xf>
    <xf numFmtId="0" fontId="24" fillId="19" borderId="38" xfId="0" applyFont="1" applyFill="1" applyBorder="1" applyAlignment="1">
      <alignment horizontal="center" vertical="center" wrapText="1"/>
    </xf>
    <xf numFmtId="0" fontId="55" fillId="6" borderId="0" xfId="0" applyFont="1" applyFill="1" applyAlignment="1">
      <alignment horizontal="left" vertical="center"/>
    </xf>
    <xf numFmtId="0" fontId="24" fillId="19" borderId="23" xfId="0" applyFont="1" applyFill="1" applyBorder="1" applyAlignment="1">
      <alignment horizontal="center" vertical="center" wrapText="1"/>
    </xf>
    <xf numFmtId="0" fontId="24" fillId="19" borderId="50" xfId="0" applyFont="1" applyFill="1" applyBorder="1" applyAlignment="1">
      <alignment horizontal="center" vertical="center" wrapText="1"/>
    </xf>
    <xf numFmtId="0" fontId="75" fillId="4" borderId="14" xfId="0" applyFont="1" applyFill="1" applyBorder="1" applyAlignment="1">
      <alignment horizontal="left" vertical="center" wrapText="1"/>
    </xf>
    <xf numFmtId="0" fontId="44" fillId="4" borderId="24" xfId="0" applyFont="1" applyFill="1" applyBorder="1" applyAlignment="1">
      <alignment horizontal="left" vertical="center"/>
    </xf>
    <xf numFmtId="0" fontId="44" fillId="4" borderId="15" xfId="0" applyFont="1" applyFill="1" applyBorder="1" applyAlignment="1">
      <alignment horizontal="left" vertical="center"/>
    </xf>
    <xf numFmtId="0" fontId="44" fillId="4" borderId="16" xfId="0" applyFont="1" applyFill="1" applyBorder="1" applyAlignment="1">
      <alignment horizontal="left" vertical="center"/>
    </xf>
    <xf numFmtId="0" fontId="44" fillId="4" borderId="0" xfId="0" applyFont="1" applyFill="1" applyAlignment="1">
      <alignment horizontal="left" vertical="center"/>
    </xf>
    <xf numFmtId="0" fontId="44" fillId="4" borderId="17" xfId="0" applyFont="1" applyFill="1" applyBorder="1" applyAlignment="1">
      <alignment horizontal="left" vertical="center"/>
    </xf>
    <xf numFmtId="0" fontId="44" fillId="4" borderId="18" xfId="0" applyFont="1" applyFill="1" applyBorder="1" applyAlignment="1">
      <alignment horizontal="left" vertical="center"/>
    </xf>
    <xf numFmtId="0" fontId="44" fillId="4" borderId="20" xfId="0" applyFont="1" applyFill="1" applyBorder="1" applyAlignment="1">
      <alignment horizontal="left" vertical="center"/>
    </xf>
    <xf numFmtId="0" fontId="44" fillId="4" borderId="19" xfId="0" applyFont="1" applyFill="1" applyBorder="1" applyAlignment="1">
      <alignment horizontal="left" vertical="center"/>
    </xf>
    <xf numFmtId="0" fontId="24" fillId="0" borderId="22" xfId="0" applyFont="1" applyBorder="1" applyAlignment="1">
      <alignment horizontal="center" vertical="center" wrapText="1"/>
    </xf>
    <xf numFmtId="0" fontId="55" fillId="4" borderId="0" xfId="0" applyFont="1" applyFill="1" applyAlignment="1">
      <alignment horizontal="left" vertical="center" wrapText="1"/>
    </xf>
    <xf numFmtId="0" fontId="47" fillId="4" borderId="14" xfId="0" applyFont="1" applyFill="1" applyBorder="1" applyAlignment="1">
      <alignment horizontal="left" vertical="center" wrapText="1"/>
    </xf>
    <xf numFmtId="0" fontId="23" fillId="4" borderId="24" xfId="0" applyFont="1" applyFill="1" applyBorder="1" applyAlignment="1">
      <alignment horizontal="left" vertical="center"/>
    </xf>
    <xf numFmtId="0" fontId="23" fillId="4" borderId="15" xfId="0" applyFont="1" applyFill="1" applyBorder="1" applyAlignment="1">
      <alignment horizontal="left" vertical="center"/>
    </xf>
    <xf numFmtId="0" fontId="23" fillId="4" borderId="16" xfId="0" applyFont="1" applyFill="1" applyBorder="1" applyAlignment="1">
      <alignment horizontal="left" vertical="center"/>
    </xf>
    <xf numFmtId="0" fontId="23" fillId="4" borderId="0" xfId="0" applyFont="1" applyFill="1" applyAlignment="1">
      <alignment horizontal="left" vertical="center"/>
    </xf>
    <xf numFmtId="0" fontId="23" fillId="4" borderId="17" xfId="0" applyFont="1" applyFill="1" applyBorder="1" applyAlignment="1">
      <alignment horizontal="left" vertical="center"/>
    </xf>
    <xf numFmtId="0" fontId="23" fillId="4" borderId="18" xfId="0" applyFont="1" applyFill="1" applyBorder="1" applyAlignment="1">
      <alignment horizontal="left" vertical="center"/>
    </xf>
    <xf numFmtId="0" fontId="23" fillId="4" borderId="20" xfId="0" applyFont="1" applyFill="1" applyBorder="1" applyAlignment="1">
      <alignment horizontal="left" vertical="center"/>
    </xf>
    <xf numFmtId="0" fontId="23" fillId="4" borderId="19" xfId="0" applyFont="1" applyFill="1" applyBorder="1" applyAlignment="1">
      <alignment horizontal="left" vertical="center"/>
    </xf>
    <xf numFmtId="0" fontId="33" fillId="4" borderId="0" xfId="0" applyFont="1" applyFill="1" applyAlignment="1">
      <alignment horizontal="left" vertical="center" wrapText="1"/>
    </xf>
    <xf numFmtId="0" fontId="24" fillId="19" borderId="51" xfId="0" applyFont="1" applyFill="1" applyBorder="1" applyAlignment="1">
      <alignment horizontal="center" vertical="center" wrapText="1"/>
    </xf>
    <xf numFmtId="0" fontId="9" fillId="18" borderId="0" xfId="0" applyFont="1" applyFill="1" applyAlignment="1">
      <alignment horizontal="center" vertical="center"/>
    </xf>
    <xf numFmtId="0" fontId="33" fillId="4" borderId="0" xfId="0" applyFont="1" applyFill="1" applyAlignment="1">
      <alignment horizontal="left" vertical="center"/>
    </xf>
    <xf numFmtId="0" fontId="19" fillId="22" borderId="0" xfId="0" applyFont="1" applyFill="1" applyAlignment="1">
      <alignment horizontal="center" vertical="center"/>
    </xf>
    <xf numFmtId="0" fontId="19" fillId="22" borderId="8" xfId="0" applyFont="1" applyFill="1" applyBorder="1" applyAlignment="1">
      <alignment horizontal="center" vertical="center"/>
    </xf>
    <xf numFmtId="0" fontId="19" fillId="22" borderId="34" xfId="0" applyFont="1" applyFill="1" applyBorder="1" applyAlignment="1">
      <alignment horizontal="left" vertical="center" wrapText="1"/>
    </xf>
    <xf numFmtId="0" fontId="19" fillId="22" borderId="35" xfId="0" applyFont="1" applyFill="1" applyBorder="1" applyAlignment="1">
      <alignment horizontal="left" vertical="center" wrapText="1"/>
    </xf>
    <xf numFmtId="0" fontId="19" fillId="22" borderId="36" xfId="0" applyFont="1" applyFill="1" applyBorder="1" applyAlignment="1">
      <alignment horizontal="left" vertical="center" wrapText="1"/>
    </xf>
    <xf numFmtId="0" fontId="19" fillId="22" borderId="34" xfId="0" applyFont="1" applyFill="1" applyBorder="1" applyAlignment="1">
      <alignment horizontal="center" vertical="center" wrapText="1"/>
    </xf>
    <xf numFmtId="0" fontId="19" fillId="22" borderId="35" xfId="0" applyFont="1" applyFill="1" applyBorder="1" applyAlignment="1">
      <alignment horizontal="center" vertical="center" wrapText="1"/>
    </xf>
    <xf numFmtId="0" fontId="19" fillId="22" borderId="36" xfId="0" applyFont="1" applyFill="1" applyBorder="1" applyAlignment="1">
      <alignment horizontal="center" vertical="center" wrapText="1"/>
    </xf>
    <xf numFmtId="4" fontId="6" fillId="4" borderId="33" xfId="0" applyNumberFormat="1" applyFont="1" applyFill="1" applyBorder="1" applyAlignment="1">
      <alignment horizontal="center" vertical="center" wrapText="1"/>
    </xf>
    <xf numFmtId="0" fontId="25" fillId="18" borderId="0" xfId="0" applyFont="1" applyFill="1" applyAlignment="1">
      <alignment horizontal="left" vertical="center"/>
    </xf>
    <xf numFmtId="0" fontId="37" fillId="22" borderId="5" xfId="0" applyFont="1" applyFill="1" applyBorder="1" applyAlignment="1">
      <alignment horizontal="center"/>
    </xf>
    <xf numFmtId="0" fontId="37" fillId="22" borderId="6" xfId="0" applyFont="1" applyFill="1" applyBorder="1" applyAlignment="1">
      <alignment horizontal="center"/>
    </xf>
    <xf numFmtId="0" fontId="24" fillId="22" borderId="0" xfId="0" applyFont="1" applyFill="1" applyAlignment="1">
      <alignment horizontal="center" vertical="center"/>
    </xf>
    <xf numFmtId="0" fontId="24" fillId="22" borderId="8" xfId="0" applyFont="1" applyFill="1" applyBorder="1" applyAlignment="1">
      <alignment horizontal="center" vertical="center"/>
    </xf>
    <xf numFmtId="4" fontId="19" fillId="4" borderId="33" xfId="0" applyNumberFormat="1" applyFont="1" applyFill="1" applyBorder="1" applyAlignment="1">
      <alignment horizontal="center" vertical="center" wrapText="1"/>
    </xf>
    <xf numFmtId="0" fontId="24" fillId="20" borderId="33" xfId="0" applyFont="1" applyFill="1" applyBorder="1" applyAlignment="1">
      <alignment horizontal="center" vertical="center"/>
    </xf>
    <xf numFmtId="0" fontId="40" fillId="4" borderId="33" xfId="0" applyFont="1" applyFill="1" applyBorder="1" applyAlignment="1">
      <alignment horizontal="center" vertical="center" wrapText="1"/>
    </xf>
    <xf numFmtId="0" fontId="40" fillId="0" borderId="33" xfId="0" applyFont="1" applyBorder="1" applyAlignment="1">
      <alignment horizontal="center" vertical="center" wrapText="1"/>
    </xf>
    <xf numFmtId="0" fontId="55" fillId="4" borderId="33" xfId="0" applyFont="1" applyFill="1" applyBorder="1" applyAlignment="1">
      <alignment horizontal="center" vertical="center" wrapText="1"/>
    </xf>
    <xf numFmtId="49" fontId="40" fillId="6" borderId="33" xfId="0" applyNumberFormat="1" applyFont="1" applyFill="1" applyBorder="1" applyAlignment="1">
      <alignment horizontal="center" vertical="center" wrapText="1"/>
    </xf>
    <xf numFmtId="3" fontId="40" fillId="4" borderId="33" xfId="0" applyNumberFormat="1" applyFont="1" applyFill="1" applyBorder="1" applyAlignment="1">
      <alignment horizontal="center" vertical="center" wrapText="1"/>
    </xf>
    <xf numFmtId="0" fontId="16" fillId="22" borderId="10" xfId="0" applyFont="1" applyFill="1" applyBorder="1" applyAlignment="1">
      <alignment horizontal="center" vertical="center"/>
    </xf>
    <xf numFmtId="0" fontId="16" fillId="22" borderId="11" xfId="0" applyFont="1" applyFill="1" applyBorder="1" applyAlignment="1">
      <alignment horizontal="center" vertical="center"/>
    </xf>
    <xf numFmtId="0" fontId="19" fillId="22" borderId="7" xfId="0" applyFont="1" applyFill="1" applyBorder="1" applyAlignment="1">
      <alignment horizontal="center" wrapText="1"/>
    </xf>
    <xf numFmtId="0" fontId="19" fillId="22" borderId="0" xfId="0" applyFont="1" applyFill="1" applyAlignment="1">
      <alignment horizontal="center" wrapText="1"/>
    </xf>
    <xf numFmtId="0" fontId="19" fillId="22" borderId="33" xfId="0" applyFont="1" applyFill="1" applyBorder="1" applyAlignment="1">
      <alignment horizontal="left" vertical="center" wrapText="1"/>
    </xf>
    <xf numFmtId="4" fontId="6" fillId="0" borderId="33" xfId="0" applyNumberFormat="1" applyFont="1" applyBorder="1" applyAlignment="1">
      <alignment horizontal="center" vertical="center" wrapText="1"/>
    </xf>
    <xf numFmtId="0" fontId="19" fillId="22" borderId="33" xfId="0" applyFont="1" applyFill="1" applyBorder="1" applyAlignment="1">
      <alignment horizontal="center" vertical="center" wrapText="1"/>
    </xf>
    <xf numFmtId="0" fontId="24" fillId="4" borderId="53" xfId="0" applyFont="1" applyFill="1" applyBorder="1" applyAlignment="1">
      <alignment horizontal="center"/>
    </xf>
    <xf numFmtId="1" fontId="6" fillId="0" borderId="37" xfId="0" applyNumberFormat="1" applyFont="1" applyBorder="1" applyAlignment="1">
      <alignment horizontal="center" vertical="center"/>
    </xf>
    <xf numFmtId="3" fontId="6" fillId="5" borderId="37" xfId="0" applyNumberFormat="1" applyFont="1" applyFill="1" applyBorder="1" applyAlignment="1" applyProtection="1">
      <alignment horizontal="center" vertical="center"/>
      <protection locked="0"/>
    </xf>
    <xf numFmtId="4" fontId="6" fillId="5" borderId="37" xfId="0" applyNumberFormat="1" applyFont="1" applyFill="1" applyBorder="1" applyAlignment="1" applyProtection="1">
      <alignment horizontal="center" vertical="center"/>
      <protection locked="0"/>
    </xf>
    <xf numFmtId="4" fontId="6" fillId="0" borderId="12" xfId="0" applyNumberFormat="1" applyFont="1" applyBorder="1" applyAlignment="1" applyProtection="1">
      <alignment horizontal="center" vertical="center"/>
      <protection locked="0"/>
    </xf>
    <xf numFmtId="4" fontId="6" fillId="0" borderId="37" xfId="0" applyNumberFormat="1" applyFont="1" applyBorder="1" applyAlignment="1" applyProtection="1">
      <alignment horizontal="center" vertical="center"/>
      <protection locked="0"/>
    </xf>
    <xf numFmtId="0" fontId="24" fillId="4" borderId="52" xfId="0" applyFont="1" applyFill="1" applyBorder="1" applyAlignment="1">
      <alignment horizontal="center"/>
    </xf>
    <xf numFmtId="3" fontId="24" fillId="4" borderId="53" xfId="0" applyNumberFormat="1" applyFont="1" applyFill="1" applyBorder="1" applyAlignment="1">
      <alignment horizontal="center"/>
    </xf>
    <xf numFmtId="4" fontId="24" fillId="4" borderId="53" xfId="0" applyNumberFormat="1" applyFont="1" applyFill="1" applyBorder="1" applyAlignment="1">
      <alignment horizontal="center"/>
    </xf>
    <xf numFmtId="4" fontId="24" fillId="4" borderId="54" xfId="0" applyNumberFormat="1" applyFont="1" applyFill="1" applyBorder="1" applyAlignment="1">
      <alignment horizontal="center"/>
    </xf>
    <xf numFmtId="0" fontId="24" fillId="19" borderId="61" xfId="0" applyFont="1" applyFill="1" applyBorder="1" applyAlignment="1">
      <alignment horizontal="center" vertical="center" wrapText="1"/>
    </xf>
    <xf numFmtId="4" fontId="6" fillId="0" borderId="13" xfId="0" applyNumberFormat="1" applyFont="1" applyBorder="1" applyAlignment="1">
      <alignment horizontal="center" vertical="center"/>
    </xf>
    <xf numFmtId="1" fontId="6" fillId="0" borderId="13" xfId="0" applyNumberFormat="1" applyFont="1" applyBorder="1" applyAlignment="1">
      <alignment horizontal="center" vertical="center"/>
    </xf>
    <xf numFmtId="3" fontId="6" fillId="5" borderId="13" xfId="0" applyNumberFormat="1" applyFont="1" applyFill="1" applyBorder="1" applyAlignment="1" applyProtection="1">
      <alignment horizontal="center" vertical="center"/>
      <protection locked="0"/>
    </xf>
    <xf numFmtId="4" fontId="6" fillId="5" borderId="13" xfId="0" applyNumberFormat="1" applyFont="1" applyFill="1" applyBorder="1" applyAlignment="1" applyProtection="1">
      <alignment horizontal="center" vertical="center"/>
      <protection locked="0"/>
    </xf>
    <xf numFmtId="0" fontId="24" fillId="0" borderId="37" xfId="0" applyFont="1" applyBorder="1" applyAlignment="1">
      <alignment horizontal="center" vertical="center" wrapText="1"/>
    </xf>
    <xf numFmtId="1" fontId="6" fillId="6" borderId="13" xfId="0" applyNumberFormat="1" applyFont="1" applyFill="1" applyBorder="1" applyAlignment="1">
      <alignment horizontal="center" vertical="center"/>
    </xf>
    <xf numFmtId="4" fontId="6" fillId="6" borderId="62" xfId="0" applyNumberFormat="1" applyFont="1" applyFill="1" applyBorder="1" applyAlignment="1">
      <alignment horizontal="center" vertical="center"/>
    </xf>
    <xf numFmtId="4" fontId="24" fillId="0" borderId="54" xfId="0" applyNumberFormat="1" applyFont="1" applyBorder="1" applyAlignment="1">
      <alignment horizontal="center"/>
    </xf>
  </cellXfs>
  <cellStyles count="14">
    <cellStyle name="CAIB_2" xfId="2" xr:uid="{00000000-0005-0000-0000-000000000000}"/>
    <cellStyle name="Hipervínculo" xfId="1" builtinId="8"/>
    <cellStyle name="Input" xfId="3" xr:uid="{00000000-0005-0000-0000-000002000000}"/>
    <cellStyle name="Millares 2" xfId="4" xr:uid="{00000000-0005-0000-0000-000003000000}"/>
    <cellStyle name="Millares 2 2" xfId="5" xr:uid="{00000000-0005-0000-0000-000004000000}"/>
    <cellStyle name="Millares 3" xfId="6" xr:uid="{00000000-0005-0000-0000-000005000000}"/>
    <cellStyle name="Millares 3 2" xfId="7" xr:uid="{00000000-0005-0000-0000-000006000000}"/>
    <cellStyle name="Normal" xfId="0" builtinId="0"/>
    <cellStyle name="Normal 2" xfId="8" xr:uid="{00000000-0005-0000-0000-000008000000}"/>
    <cellStyle name="Normal 2 2" xfId="9" xr:uid="{00000000-0005-0000-0000-000009000000}"/>
    <cellStyle name="Normal 2 2 2" xfId="13" xr:uid="{00000000-0005-0000-0000-00000A000000}"/>
    <cellStyle name="Normal 2 3" xfId="10" xr:uid="{00000000-0005-0000-0000-00000B000000}"/>
    <cellStyle name="Normal 2 4" xfId="11" xr:uid="{00000000-0005-0000-0000-00000C000000}"/>
    <cellStyle name="Normal 4" xfId="12" xr:uid="{00000000-0005-0000-0000-00000D000000}"/>
  </cellStyles>
  <dxfs count="16">
    <dxf>
      <font>
        <color theme="0"/>
      </font>
      <fill>
        <patternFill>
          <fgColor theme="0"/>
          <bgColor theme="0"/>
        </patternFill>
      </fill>
      <border>
        <left/>
        <right/>
        <top/>
        <bottom/>
        <vertical/>
        <horizontal/>
      </border>
    </dxf>
    <dxf>
      <font>
        <color theme="0"/>
      </font>
      <fill>
        <patternFill>
          <bgColor theme="0"/>
        </patternFill>
      </fill>
      <border>
        <vertical/>
        <horizontal/>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numFmt numFmtId="0" formatCode="General"/>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numFmt numFmtId="0" formatCode="General"/>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DEDCE6"/>
      <color rgb="FF24FC2E"/>
      <color rgb="FFC2829E"/>
      <color rgb="FFFF8989"/>
      <color rgb="FFFF3F3F"/>
      <color rgb="FF1F497D"/>
      <color rgb="FF808080"/>
      <color rgb="FFFF6161"/>
      <color rgb="FFFF1111"/>
      <color rgb="FFD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'3. Resultados'!$F$44</c:f>
              <c:strCache>
                <c:ptCount val="1"/>
                <c:pt idx="0">
                  <c:v>1.1 Absorciones de los árboles</c:v>
                </c:pt>
              </c:strCache>
            </c:strRef>
          </c:tx>
          <c:spPr>
            <a:solidFill>
              <a:schemeClr val="accent6">
                <a:lumMod val="75000"/>
              </a:schemeClr>
            </a:solidFill>
          </c:spPr>
          <c:invertIfNegative val="0"/>
          <c:dPt>
            <c:idx val="2"/>
            <c:invertIfNegative val="0"/>
            <c:bubble3D val="0"/>
            <c:spPr>
              <a:solidFill>
                <a:srgbClr val="24FC2E"/>
              </a:solidFill>
            </c:spPr>
            <c:extLst>
              <c:ext xmlns:c16="http://schemas.microsoft.com/office/drawing/2014/chart" uri="{C3380CC4-5D6E-409C-BE32-E72D297353CC}">
                <c16:uniqueId val="{00000000-7856-467B-9300-D498F5F189B1}"/>
              </c:ext>
            </c:extLst>
          </c:dPt>
          <c:cat>
            <c:strRef>
              <c:f>'3. Resultados'!$E$45:$E$47</c:f>
              <c:strCache>
                <c:ptCount val="3"/>
                <c:pt idx="0">
                  <c:v>Absorciones</c:v>
                </c:pt>
                <c:pt idx="1">
                  <c:v>Emisiones</c:v>
                </c:pt>
                <c:pt idx="2">
                  <c:v>Balance</c:v>
                </c:pt>
              </c:strCache>
            </c:strRef>
          </c:cat>
          <c:val>
            <c:numRef>
              <c:f>'3. Resultados'!$F$45:$F$47</c:f>
              <c:numCache>
                <c:formatCode>General</c:formatCode>
                <c:ptCount val="3"/>
                <c:pt idx="0" formatCode="#,##0.00">
                  <c:v>0</c:v>
                </c:pt>
                <c:pt idx="2" formatCode="#,##0.00">
                  <c:v>0</c:v>
                </c:pt>
              </c:numCache>
            </c:numRef>
          </c:val>
          <c:extLst>
            <c:ext xmlns:c16="http://schemas.microsoft.com/office/drawing/2014/chart" uri="{C3380CC4-5D6E-409C-BE32-E72D297353CC}">
              <c16:uniqueId val="{00000001-7856-467B-9300-D498F5F189B1}"/>
            </c:ext>
          </c:extLst>
        </c:ser>
        <c:ser>
          <c:idx val="1"/>
          <c:order val="1"/>
          <c:tx>
            <c:strRef>
              <c:f>'3. Resultados'!$G$44</c:f>
              <c:strCache>
                <c:ptCount val="1"/>
                <c:pt idx="0">
                  <c:v>2.1 Emisiones CO2 descomposición y quema</c:v>
                </c:pt>
              </c:strCache>
            </c:strRef>
          </c:tx>
          <c:invertIfNegative val="0"/>
          <c:cat>
            <c:strRef>
              <c:f>'3. Resultados'!$E$45:$E$47</c:f>
              <c:strCache>
                <c:ptCount val="3"/>
                <c:pt idx="0">
                  <c:v>Absorciones</c:v>
                </c:pt>
                <c:pt idx="1">
                  <c:v>Emisiones</c:v>
                </c:pt>
                <c:pt idx="2">
                  <c:v>Balance</c:v>
                </c:pt>
              </c:strCache>
            </c:strRef>
          </c:cat>
          <c:val>
            <c:numRef>
              <c:f>'3. Resultados'!$G$45:$G$47</c:f>
              <c:numCache>
                <c:formatCode>#,##0.00</c:formatCode>
                <c:ptCount val="3"/>
                <c:pt idx="1">
                  <c:v>0</c:v>
                </c:pt>
              </c:numCache>
            </c:numRef>
          </c:val>
          <c:extLst>
            <c:ext xmlns:c16="http://schemas.microsoft.com/office/drawing/2014/chart" uri="{C3380CC4-5D6E-409C-BE32-E72D297353CC}">
              <c16:uniqueId val="{00000002-7856-467B-9300-D498F5F189B1}"/>
            </c:ext>
          </c:extLst>
        </c:ser>
        <c:ser>
          <c:idx val="2"/>
          <c:order val="2"/>
          <c:tx>
            <c:strRef>
              <c:f>'3. Resultados'!$H$44</c:f>
              <c:strCache>
                <c:ptCount val="1"/>
                <c:pt idx="0">
                  <c:v>2.2 Emisiones vehículos y maquinaria</c:v>
                </c:pt>
              </c:strCache>
            </c:strRef>
          </c:tx>
          <c:invertIfNegative val="0"/>
          <c:cat>
            <c:strRef>
              <c:f>'3. Resultados'!$E$45:$E$47</c:f>
              <c:strCache>
                <c:ptCount val="3"/>
                <c:pt idx="0">
                  <c:v>Absorciones</c:v>
                </c:pt>
                <c:pt idx="1">
                  <c:v>Emisiones</c:v>
                </c:pt>
                <c:pt idx="2">
                  <c:v>Balance</c:v>
                </c:pt>
              </c:strCache>
            </c:strRef>
          </c:cat>
          <c:val>
            <c:numRef>
              <c:f>'3. Resultados'!$H$45:$H$47</c:f>
              <c:numCache>
                <c:formatCode>#,##0.00</c:formatCode>
                <c:ptCount val="3"/>
                <c:pt idx="1">
                  <c:v>0</c:v>
                </c:pt>
              </c:numCache>
            </c:numRef>
          </c:val>
          <c:extLst>
            <c:ext xmlns:c16="http://schemas.microsoft.com/office/drawing/2014/chart" uri="{C3380CC4-5D6E-409C-BE32-E72D297353CC}">
              <c16:uniqueId val="{00000003-7856-467B-9300-D498F5F189B1}"/>
            </c:ext>
          </c:extLst>
        </c:ser>
        <c:ser>
          <c:idx val="3"/>
          <c:order val="3"/>
          <c:tx>
            <c:strRef>
              <c:f>'3. Resultados'!$I$44</c:f>
              <c:strCache>
                <c:ptCount val="1"/>
                <c:pt idx="0">
                  <c:v>2.3 Emisiones CH4 y N2O por quema</c:v>
                </c:pt>
              </c:strCache>
            </c:strRef>
          </c:tx>
          <c:invertIfNegative val="0"/>
          <c:cat>
            <c:strRef>
              <c:f>'3. Resultados'!$E$45:$E$47</c:f>
              <c:strCache>
                <c:ptCount val="3"/>
                <c:pt idx="0">
                  <c:v>Absorciones</c:v>
                </c:pt>
                <c:pt idx="1">
                  <c:v>Emisiones</c:v>
                </c:pt>
                <c:pt idx="2">
                  <c:v>Balance</c:v>
                </c:pt>
              </c:strCache>
            </c:strRef>
          </c:cat>
          <c:val>
            <c:numRef>
              <c:f>'3. Resultados'!$I$45:$I$47</c:f>
              <c:numCache>
                <c:formatCode>#,##0.00</c:formatCode>
                <c:ptCount val="3"/>
                <c:pt idx="1">
                  <c:v>0</c:v>
                </c:pt>
              </c:numCache>
            </c:numRef>
          </c:val>
          <c:extLst>
            <c:ext xmlns:c16="http://schemas.microsoft.com/office/drawing/2014/chart" uri="{C3380CC4-5D6E-409C-BE32-E72D297353CC}">
              <c16:uniqueId val="{00000004-7856-467B-9300-D498F5F189B1}"/>
            </c:ext>
          </c:extLst>
        </c:ser>
        <c:ser>
          <c:idx val="4"/>
          <c:order val="4"/>
          <c:tx>
            <c:strRef>
              <c:f>'3. Resultados'!$J$44</c:f>
              <c:strCache>
                <c:ptCount val="1"/>
                <c:pt idx="0">
                  <c:v>2.4 Emisiones productos madereros</c:v>
                </c:pt>
              </c:strCache>
            </c:strRef>
          </c:tx>
          <c:invertIfNegative val="0"/>
          <c:cat>
            <c:strRef>
              <c:f>'3. Resultados'!$E$45:$E$47</c:f>
              <c:strCache>
                <c:ptCount val="3"/>
                <c:pt idx="0">
                  <c:v>Absorciones</c:v>
                </c:pt>
                <c:pt idx="1">
                  <c:v>Emisiones</c:v>
                </c:pt>
                <c:pt idx="2">
                  <c:v>Balance</c:v>
                </c:pt>
              </c:strCache>
            </c:strRef>
          </c:cat>
          <c:val>
            <c:numRef>
              <c:f>'3. Resultados'!$J$45:$J$47</c:f>
              <c:numCache>
                <c:formatCode>#,##0.00</c:formatCode>
                <c:ptCount val="3"/>
                <c:pt idx="1">
                  <c:v>0</c:v>
                </c:pt>
              </c:numCache>
            </c:numRef>
          </c:val>
          <c:extLst>
            <c:ext xmlns:c16="http://schemas.microsoft.com/office/drawing/2014/chart" uri="{C3380CC4-5D6E-409C-BE32-E72D297353CC}">
              <c16:uniqueId val="{00000005-7856-467B-9300-D498F5F189B1}"/>
            </c:ext>
          </c:extLst>
        </c:ser>
        <c:dLbls>
          <c:showLegendKey val="0"/>
          <c:showVal val="0"/>
          <c:showCatName val="0"/>
          <c:showSerName val="0"/>
          <c:showPercent val="0"/>
          <c:showBubbleSize val="0"/>
        </c:dLbls>
        <c:gapWidth val="75"/>
        <c:overlap val="100"/>
        <c:axId val="155784704"/>
        <c:axId val="155786240"/>
      </c:barChart>
      <c:catAx>
        <c:axId val="155784704"/>
        <c:scaling>
          <c:orientation val="minMax"/>
        </c:scaling>
        <c:delete val="0"/>
        <c:axPos val="b"/>
        <c:numFmt formatCode="General" sourceLinked="0"/>
        <c:majorTickMark val="none"/>
        <c:minorTickMark val="none"/>
        <c:tickLblPos val="nextTo"/>
        <c:crossAx val="155786240"/>
        <c:crosses val="autoZero"/>
        <c:auto val="1"/>
        <c:lblAlgn val="ctr"/>
        <c:lblOffset val="100"/>
        <c:noMultiLvlLbl val="0"/>
      </c:catAx>
      <c:valAx>
        <c:axId val="155786240"/>
        <c:scaling>
          <c:orientation val="minMax"/>
        </c:scaling>
        <c:delete val="0"/>
        <c:axPos val="l"/>
        <c:majorGridlines/>
        <c:minorGridlines/>
        <c:title>
          <c:tx>
            <c:rich>
              <a:bodyPr/>
              <a:lstStyle/>
              <a:p>
                <a:pPr>
                  <a:defRPr/>
                </a:pPr>
                <a:r>
                  <a:rPr lang="es-ES"/>
                  <a:t>t CO2 eq</a:t>
                </a:r>
              </a:p>
            </c:rich>
          </c:tx>
          <c:overlay val="0"/>
        </c:title>
        <c:numFmt formatCode="#,##0.00" sourceLinked="1"/>
        <c:majorTickMark val="out"/>
        <c:minorTickMark val="none"/>
        <c:tickLblPos val="nextTo"/>
        <c:crossAx val="155784704"/>
        <c:crosses val="autoZero"/>
        <c:crossBetween val="between"/>
      </c:valAx>
    </c:plotArea>
    <c:legend>
      <c:legendPos val="r"/>
      <c:overlay val="0"/>
    </c:legend>
    <c:plotVisOnly val="1"/>
    <c:dispBlanksAs val="gap"/>
    <c:showDLblsOverMax val="0"/>
  </c:chart>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chart" Target="../charts/chart1.xml"/><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61135</xdr:colOff>
      <xdr:row>3</xdr:row>
      <xdr:rowOff>200024</xdr:rowOff>
    </xdr:from>
    <xdr:to>
      <xdr:col>0</xdr:col>
      <xdr:colOff>1958975</xdr:colOff>
      <xdr:row>9</xdr:row>
      <xdr:rowOff>76408</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35" y="904874"/>
          <a:ext cx="1897840" cy="1143209"/>
        </a:xfrm>
        <a:prstGeom prst="rect">
          <a:avLst/>
        </a:prstGeom>
      </xdr:spPr>
    </xdr:pic>
    <xdr:clientData/>
  </xdr:twoCellAnchor>
  <xdr:twoCellAnchor editAs="oneCell">
    <xdr:from>
      <xdr:col>0</xdr:col>
      <xdr:colOff>0</xdr:colOff>
      <xdr:row>0</xdr:row>
      <xdr:rowOff>0</xdr:rowOff>
    </xdr:from>
    <xdr:to>
      <xdr:col>0</xdr:col>
      <xdr:colOff>1952625</xdr:colOff>
      <xdr:row>3</xdr:row>
      <xdr:rowOff>132158</xdr:rowOff>
    </xdr:to>
    <xdr:pic>
      <xdr:nvPicPr>
        <xdr:cNvPr id="5" name="Imagen 4">
          <a:extLst>
            <a:ext uri="{FF2B5EF4-FFF2-40B4-BE49-F238E27FC236}">
              <a16:creationId xmlns:a16="http://schemas.microsoft.com/office/drawing/2014/main" id="{24EDEEDF-76AF-8F76-9A8A-82252966FF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3</xdr:rowOff>
    </xdr:from>
    <xdr:to>
      <xdr:col>0</xdr:col>
      <xdr:colOff>1952626</xdr:colOff>
      <xdr:row>2</xdr:row>
      <xdr:rowOff>13628</xdr:rowOff>
    </xdr:to>
    <xdr:pic>
      <xdr:nvPicPr>
        <xdr:cNvPr id="2" name="Imagen 1">
          <a:extLst>
            <a:ext uri="{FF2B5EF4-FFF2-40B4-BE49-F238E27FC236}">
              <a16:creationId xmlns:a16="http://schemas.microsoft.com/office/drawing/2014/main" id="{A531A61F-E869-4EF0-9464-2600A015BB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3"/>
          <a:ext cx="1952625" cy="837008"/>
        </a:xfrm>
        <a:prstGeom prst="rect">
          <a:avLst/>
        </a:prstGeom>
      </xdr:spPr>
    </xdr:pic>
    <xdr:clientData/>
  </xdr:twoCellAnchor>
  <xdr:twoCellAnchor editAs="oneCell">
    <xdr:from>
      <xdr:col>3</xdr:col>
      <xdr:colOff>47626</xdr:colOff>
      <xdr:row>11</xdr:row>
      <xdr:rowOff>76200</xdr:rowOff>
    </xdr:from>
    <xdr:to>
      <xdr:col>5</xdr:col>
      <xdr:colOff>955111</xdr:colOff>
      <xdr:row>19</xdr:row>
      <xdr:rowOff>57150</xdr:rowOff>
    </xdr:to>
    <xdr:pic>
      <xdr:nvPicPr>
        <xdr:cNvPr id="1026" name="Picture 2">
          <a:extLst>
            <a:ext uri="{FF2B5EF4-FFF2-40B4-BE49-F238E27FC236}">
              <a16:creationId xmlns:a16="http://schemas.microsoft.com/office/drawing/2014/main" id="{00000000-0008-0000-0100-00000204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67176" y="2609850"/>
          <a:ext cx="2479110" cy="2286000"/>
        </a:xfrm>
        <a:prstGeom prst="rect">
          <a:avLst/>
        </a:prstGeom>
        <a:noFill/>
        <a:ln w="1">
          <a:noFill/>
          <a:miter lim="800000"/>
          <a:headEnd/>
          <a:tailEnd type="none" w="med" len="med"/>
        </a:ln>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2</xdr:row>
      <xdr:rowOff>11508</xdr:rowOff>
    </xdr:to>
    <xdr:pic>
      <xdr:nvPicPr>
        <xdr:cNvPr id="2" name="Imagen 1">
          <a:extLst>
            <a:ext uri="{FF2B5EF4-FFF2-40B4-BE49-F238E27FC236}">
              <a16:creationId xmlns:a16="http://schemas.microsoft.com/office/drawing/2014/main" id="{0D3CFC59-90B7-440C-82C6-AEA030A302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2</xdr:row>
      <xdr:rowOff>19836</xdr:rowOff>
    </xdr:to>
    <xdr:pic>
      <xdr:nvPicPr>
        <xdr:cNvPr id="2" name="Imagen 1">
          <a:extLst>
            <a:ext uri="{FF2B5EF4-FFF2-40B4-BE49-F238E27FC236}">
              <a16:creationId xmlns:a16="http://schemas.microsoft.com/office/drawing/2014/main" id="{F074DC6B-AA92-45DC-B1C2-FE6EF02130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1952625" cy="83700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1</xdr:row>
      <xdr:rowOff>322394</xdr:rowOff>
    </xdr:to>
    <xdr:pic>
      <xdr:nvPicPr>
        <xdr:cNvPr id="2" name="Imagen 1">
          <a:extLst>
            <a:ext uri="{FF2B5EF4-FFF2-40B4-BE49-F238E27FC236}">
              <a16:creationId xmlns:a16="http://schemas.microsoft.com/office/drawing/2014/main" id="{F90CD4F8-68C5-49DC-9BD8-21B72C08C0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1952625" cy="83700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2</xdr:row>
      <xdr:rowOff>19836</xdr:rowOff>
    </xdr:to>
    <xdr:pic>
      <xdr:nvPicPr>
        <xdr:cNvPr id="2" name="Imagen 1">
          <a:extLst>
            <a:ext uri="{FF2B5EF4-FFF2-40B4-BE49-F238E27FC236}">
              <a16:creationId xmlns:a16="http://schemas.microsoft.com/office/drawing/2014/main" id="{F074DC6B-AA92-45DC-B1C2-FE6EF02130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1952625" cy="83501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1</xdr:row>
      <xdr:rowOff>322394</xdr:rowOff>
    </xdr:to>
    <xdr:pic>
      <xdr:nvPicPr>
        <xdr:cNvPr id="2" name="Imagen 1">
          <a:extLst>
            <a:ext uri="{FF2B5EF4-FFF2-40B4-BE49-F238E27FC236}">
              <a16:creationId xmlns:a16="http://schemas.microsoft.com/office/drawing/2014/main" id="{F074DC6B-AA92-45DC-B1C2-FE6EF02130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1952625" cy="8327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1</xdr:row>
      <xdr:rowOff>322658</xdr:rowOff>
    </xdr:to>
    <xdr:pic>
      <xdr:nvPicPr>
        <xdr:cNvPr id="2" name="Imagen 1">
          <a:extLst>
            <a:ext uri="{FF2B5EF4-FFF2-40B4-BE49-F238E27FC236}">
              <a16:creationId xmlns:a16="http://schemas.microsoft.com/office/drawing/2014/main" id="{A4F79D3A-D410-448F-AA4B-879F7BF3EB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twoCellAnchor>
    <xdr:from>
      <xdr:col>15</xdr:col>
      <xdr:colOff>952499</xdr:colOff>
      <xdr:row>11</xdr:row>
      <xdr:rowOff>134471</xdr:rowOff>
    </xdr:from>
    <xdr:to>
      <xdr:col>21</xdr:col>
      <xdr:colOff>1053352</xdr:colOff>
      <xdr:row>29</xdr:row>
      <xdr:rowOff>11206</xdr:rowOff>
    </xdr:to>
    <xdr:graphicFrame macro="">
      <xdr:nvGraphicFramePr>
        <xdr:cNvPr id="21" name="20 Gráfico">
          <a:extLst>
            <a:ext uri="{FF2B5EF4-FFF2-40B4-BE49-F238E27FC236}">
              <a16:creationId xmlns:a16="http://schemas.microsoft.com/office/drawing/2014/main" id="{00000000-0008-0000-07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4</xdr:col>
      <xdr:colOff>0</xdr:colOff>
      <xdr:row>41</xdr:row>
      <xdr:rowOff>0</xdr:rowOff>
    </xdr:from>
    <xdr:to>
      <xdr:col>10</xdr:col>
      <xdr:colOff>238125</xdr:colOff>
      <xdr:row>51</xdr:row>
      <xdr:rowOff>95250</xdr:rowOff>
    </xdr:to>
    <xdr:pic>
      <xdr:nvPicPr>
        <xdr:cNvPr id="1029" name="Picture 5">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4067175" y="8277225"/>
          <a:ext cx="5686425" cy="2200275"/>
        </a:xfrm>
        <a:prstGeom prst="rect">
          <a:avLst/>
        </a:prstGeom>
        <a:noFill/>
        <a:ln>
          <a:solidFill>
            <a:schemeClr val="tx1"/>
          </a:solid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MK53"/>
  <sheetViews>
    <sheetView tabSelected="1" zoomScale="90" zoomScaleNormal="90" workbookViewId="0">
      <selection activeCell="O11" sqref="O11"/>
    </sheetView>
  </sheetViews>
  <sheetFormatPr baseColWidth="10" defaultColWidth="9.140625" defaultRowHeight="16.5" x14ac:dyDescent="0.3"/>
  <cols>
    <col min="1" max="1" width="55.7109375" style="1" customWidth="1"/>
    <col min="2" max="3" width="3.42578125" style="1" customWidth="1"/>
    <col min="4" max="4" width="3.7109375" style="1" customWidth="1"/>
    <col min="5" max="5" width="11.42578125" style="1"/>
    <col min="6" max="6" width="32.85546875" style="1" customWidth="1"/>
    <col min="7" max="7" width="36" style="1" customWidth="1"/>
    <col min="8" max="8" width="3.7109375" style="1" customWidth="1"/>
    <col min="9" max="9" width="11.42578125" style="1"/>
    <col min="10" max="11" width="13.140625" style="1" customWidth="1"/>
    <col min="12" max="12" width="6.140625" style="1" customWidth="1"/>
    <col min="13" max="14" width="3.7109375" style="1" customWidth="1"/>
    <col min="15" max="1025" width="11.42578125" style="1"/>
  </cols>
  <sheetData>
    <row r="1" spans="1:13" ht="22.5" customHeight="1" x14ac:dyDescent="0.3">
      <c r="E1" s="232" t="s">
        <v>74</v>
      </c>
      <c r="F1" s="232"/>
      <c r="G1" s="232"/>
      <c r="H1" s="232"/>
      <c r="I1" s="232"/>
      <c r="J1" s="232"/>
      <c r="K1" s="232"/>
      <c r="L1" s="232"/>
    </row>
    <row r="2" spans="1:13" ht="16.5" customHeight="1" x14ac:dyDescent="0.3">
      <c r="E2" s="232"/>
      <c r="F2" s="232"/>
      <c r="G2" s="232"/>
      <c r="H2" s="232"/>
      <c r="I2" s="232"/>
      <c r="J2" s="232"/>
      <c r="K2" s="232"/>
      <c r="L2" s="232"/>
      <c r="M2" s="216"/>
    </row>
    <row r="3" spans="1:13" ht="16.5" customHeight="1" x14ac:dyDescent="0.3">
      <c r="E3" s="232"/>
      <c r="F3" s="232"/>
      <c r="G3" s="232"/>
      <c r="H3" s="232"/>
      <c r="I3" s="232"/>
      <c r="J3" s="232"/>
      <c r="K3" s="232"/>
      <c r="L3" s="232"/>
      <c r="M3" s="216"/>
    </row>
    <row r="4" spans="1:13" s="146" customFormat="1" ht="20.25" customHeight="1" x14ac:dyDescent="0.25">
      <c r="A4" s="145"/>
      <c r="B4" s="145"/>
      <c r="C4" s="145"/>
      <c r="D4" s="145"/>
      <c r="E4" s="232"/>
      <c r="F4" s="232"/>
      <c r="G4" s="232"/>
      <c r="H4" s="232"/>
      <c r="I4" s="232"/>
      <c r="J4" s="232"/>
      <c r="K4" s="232"/>
      <c r="L4" s="232"/>
      <c r="M4" s="145"/>
    </row>
    <row r="5" spans="1:13" s="146" customFormat="1" ht="17.25" customHeight="1" x14ac:dyDescent="0.25">
      <c r="A5" s="145"/>
      <c r="B5" s="145"/>
      <c r="C5" s="145"/>
      <c r="D5" s="145"/>
      <c r="E5" s="147"/>
      <c r="F5" s="147"/>
      <c r="G5" s="147"/>
      <c r="H5" s="147"/>
      <c r="I5" s="147"/>
      <c r="J5" s="147"/>
      <c r="K5" s="147"/>
      <c r="L5" s="147"/>
      <c r="M5" s="145"/>
    </row>
    <row r="6" spans="1:13" ht="20.100000000000001" customHeight="1" x14ac:dyDescent="0.3">
      <c r="B6" s="2"/>
      <c r="C6" s="2"/>
      <c r="D6" s="2"/>
      <c r="E6" s="217" t="s">
        <v>75</v>
      </c>
      <c r="F6" s="218"/>
      <c r="G6" s="218"/>
      <c r="H6" s="218"/>
      <c r="I6" s="218"/>
      <c r="J6" s="218"/>
      <c r="K6" s="218"/>
      <c r="L6" s="218"/>
      <c r="M6" s="148"/>
    </row>
    <row r="7" spans="1:13" s="146" customFormat="1" ht="14.25" customHeight="1" x14ac:dyDescent="0.25">
      <c r="A7" s="145"/>
      <c r="B7" s="149"/>
      <c r="C7" s="149"/>
      <c r="D7" s="149"/>
      <c r="E7" s="150"/>
      <c r="F7" s="150"/>
      <c r="G7" s="150"/>
      <c r="H7" s="150"/>
      <c r="I7" s="150"/>
      <c r="J7" s="150"/>
      <c r="K7" s="150"/>
      <c r="L7" s="150"/>
      <c r="M7" s="149"/>
    </row>
    <row r="8" spans="1:13" s="146" customFormat="1" ht="14.25" customHeight="1" x14ac:dyDescent="0.25">
      <c r="A8" s="145"/>
      <c r="B8" s="149"/>
      <c r="C8" s="149"/>
      <c r="D8" s="149"/>
      <c r="E8" s="220" t="s">
        <v>76</v>
      </c>
      <c r="F8" s="221"/>
      <c r="G8" s="221"/>
      <c r="H8" s="221"/>
      <c r="I8" s="221"/>
      <c r="J8" s="221"/>
      <c r="K8" s="221"/>
      <c r="L8" s="221"/>
      <c r="M8" s="149"/>
    </row>
    <row r="9" spans="1:13" s="146" customFormat="1" ht="14.25" customHeight="1" x14ac:dyDescent="0.25">
      <c r="A9" s="145"/>
      <c r="B9" s="149"/>
      <c r="C9" s="149"/>
      <c r="D9" s="149"/>
      <c r="E9" s="221"/>
      <c r="F9" s="221"/>
      <c r="G9" s="221"/>
      <c r="H9" s="221"/>
      <c r="I9" s="221"/>
      <c r="J9" s="221"/>
      <c r="K9" s="221"/>
      <c r="L9" s="221"/>
      <c r="M9" s="149"/>
    </row>
    <row r="10" spans="1:13" s="146" customFormat="1" ht="14.25" customHeight="1" x14ac:dyDescent="0.3">
      <c r="A10" s="145"/>
      <c r="B10" s="149"/>
      <c r="C10" s="149"/>
      <c r="D10" s="149"/>
      <c r="E10" s="151"/>
      <c r="F10" s="151"/>
      <c r="G10" s="151"/>
      <c r="H10" s="151"/>
      <c r="I10" s="151"/>
      <c r="J10" s="151"/>
      <c r="K10" s="151"/>
      <c r="L10" s="151"/>
      <c r="M10" s="149"/>
    </row>
    <row r="11" spans="1:13" s="146" customFormat="1" ht="14.25" customHeight="1" x14ac:dyDescent="0.3">
      <c r="A11" s="145"/>
      <c r="B11" s="149"/>
      <c r="C11" s="149"/>
      <c r="D11" s="149"/>
      <c r="E11" s="222" t="s">
        <v>84</v>
      </c>
      <c r="F11" s="222"/>
      <c r="G11" s="222"/>
      <c r="H11" s="222"/>
      <c r="I11" s="222"/>
      <c r="J11" s="222"/>
      <c r="K11" s="222"/>
      <c r="L11" s="222"/>
      <c r="M11" s="149"/>
    </row>
    <row r="12" spans="1:13" s="146" customFormat="1" ht="14.25" customHeight="1" x14ac:dyDescent="0.3">
      <c r="A12" s="145"/>
      <c r="B12" s="149"/>
      <c r="C12" s="149"/>
      <c r="D12" s="149"/>
      <c r="E12" s="152"/>
      <c r="F12" s="151" t="s">
        <v>77</v>
      </c>
      <c r="G12" s="151"/>
      <c r="H12" s="151"/>
      <c r="I12" s="151"/>
      <c r="J12" s="151"/>
      <c r="K12" s="151"/>
      <c r="L12" s="151"/>
      <c r="M12" s="149"/>
    </row>
    <row r="13" spans="1:13" s="146" customFormat="1" ht="14.25" customHeight="1" x14ac:dyDescent="0.3">
      <c r="A13" s="145"/>
      <c r="B13" s="149"/>
      <c r="C13" s="149"/>
      <c r="D13" s="149"/>
      <c r="E13" s="153"/>
      <c r="F13" s="151" t="s">
        <v>78</v>
      </c>
      <c r="G13" s="151"/>
      <c r="H13" s="151"/>
      <c r="I13" s="151"/>
      <c r="J13" s="151"/>
      <c r="K13" s="151"/>
      <c r="L13" s="151"/>
      <c r="M13" s="149"/>
    </row>
    <row r="14" spans="1:13" s="146" customFormat="1" ht="14.25" customHeight="1" x14ac:dyDescent="0.3">
      <c r="A14" s="145"/>
      <c r="B14" s="149"/>
      <c r="C14" s="149"/>
      <c r="D14" s="149"/>
      <c r="E14" s="151"/>
      <c r="F14" s="151"/>
      <c r="G14" s="151"/>
      <c r="H14" s="151"/>
      <c r="I14" s="151"/>
      <c r="J14" s="151"/>
      <c r="K14" s="151"/>
      <c r="L14" s="151"/>
      <c r="M14" s="149"/>
    </row>
    <row r="15" spans="1:13" ht="15" customHeight="1" x14ac:dyDescent="0.3">
      <c r="E15" s="154"/>
      <c r="F15" s="154"/>
      <c r="G15" s="154"/>
      <c r="H15" s="154"/>
      <c r="I15" s="154"/>
      <c r="J15" s="154"/>
      <c r="K15" s="154"/>
      <c r="L15" s="154"/>
    </row>
    <row r="16" spans="1:13" s="155" customFormat="1" ht="18" x14ac:dyDescent="0.25">
      <c r="B16" s="156"/>
      <c r="C16" s="219">
        <v>1</v>
      </c>
      <c r="D16" s="219"/>
      <c r="E16" s="215" t="s">
        <v>79</v>
      </c>
      <c r="F16" s="215"/>
      <c r="G16" s="215"/>
      <c r="H16" s="215"/>
      <c r="I16" s="215"/>
      <c r="J16" s="215"/>
      <c r="K16" s="215"/>
      <c r="L16" s="215"/>
    </row>
    <row r="17" spans="2:12" s="155" customFormat="1" ht="7.5" customHeight="1" x14ac:dyDescent="0.25">
      <c r="B17" s="157"/>
      <c r="C17" s="157"/>
      <c r="D17" s="157"/>
      <c r="E17" s="79"/>
      <c r="F17" s="158"/>
      <c r="G17" s="159"/>
      <c r="H17" s="159"/>
      <c r="I17" s="159"/>
      <c r="J17" s="159"/>
      <c r="K17" s="159"/>
      <c r="L17" s="159"/>
    </row>
    <row r="18" spans="2:12" s="155" customFormat="1" ht="18" x14ac:dyDescent="0.25">
      <c r="B18" s="156"/>
      <c r="C18" s="219" t="s">
        <v>0</v>
      </c>
      <c r="D18" s="219"/>
      <c r="E18" s="215" t="s">
        <v>80</v>
      </c>
      <c r="F18" s="215"/>
      <c r="G18" s="215"/>
      <c r="H18" s="215"/>
      <c r="I18" s="215"/>
      <c r="J18" s="215"/>
      <c r="K18" s="215"/>
      <c r="L18" s="215"/>
    </row>
    <row r="19" spans="2:12" s="155" customFormat="1" ht="7.5" customHeight="1" x14ac:dyDescent="0.25">
      <c r="B19" s="157"/>
      <c r="C19" s="157"/>
      <c r="D19" s="157"/>
      <c r="E19" s="79"/>
      <c r="F19" s="158"/>
      <c r="G19" s="159"/>
      <c r="H19" s="159"/>
      <c r="I19" s="159"/>
      <c r="J19" s="159"/>
      <c r="K19" s="159"/>
      <c r="L19" s="159"/>
    </row>
    <row r="20" spans="2:12" s="155" customFormat="1" ht="21" x14ac:dyDescent="0.35">
      <c r="B20" s="156"/>
      <c r="C20" s="219" t="s">
        <v>1</v>
      </c>
      <c r="D20" s="219"/>
      <c r="E20" s="215" t="s">
        <v>185</v>
      </c>
      <c r="F20" s="215"/>
      <c r="G20" s="215"/>
      <c r="H20" s="215"/>
      <c r="I20" s="215"/>
      <c r="J20" s="215"/>
      <c r="K20" s="215"/>
      <c r="L20" s="215"/>
    </row>
    <row r="21" spans="2:12" s="155" customFormat="1" ht="7.5" customHeight="1" x14ac:dyDescent="0.25">
      <c r="B21" s="157"/>
      <c r="C21" s="157"/>
      <c r="D21" s="157"/>
      <c r="E21" s="79"/>
      <c r="F21" s="158"/>
      <c r="G21" s="159"/>
      <c r="H21" s="159"/>
      <c r="I21" s="159"/>
      <c r="J21" s="159"/>
      <c r="K21" s="159"/>
      <c r="L21" s="159"/>
    </row>
    <row r="22" spans="2:12" s="155" customFormat="1" ht="18" x14ac:dyDescent="0.25">
      <c r="B22" s="156"/>
      <c r="C22" s="219" t="s">
        <v>48</v>
      </c>
      <c r="D22" s="219"/>
      <c r="E22" s="215" t="s">
        <v>81</v>
      </c>
      <c r="F22" s="215"/>
      <c r="G22" s="215"/>
      <c r="H22" s="215"/>
      <c r="I22" s="215"/>
      <c r="J22" s="215"/>
      <c r="K22" s="215"/>
      <c r="L22" s="215"/>
    </row>
    <row r="23" spans="2:12" s="155" customFormat="1" ht="7.5" customHeight="1" x14ac:dyDescent="0.25">
      <c r="B23" s="157"/>
      <c r="C23" s="157"/>
      <c r="D23" s="157"/>
      <c r="E23" s="79"/>
      <c r="F23" s="158"/>
      <c r="G23" s="159"/>
      <c r="H23" s="159"/>
      <c r="I23" s="159"/>
      <c r="J23" s="159"/>
      <c r="K23" s="159"/>
      <c r="L23" s="159"/>
    </row>
    <row r="24" spans="2:12" s="155" customFormat="1" ht="21" x14ac:dyDescent="0.35">
      <c r="B24" s="156"/>
      <c r="C24" s="219" t="s">
        <v>49</v>
      </c>
      <c r="D24" s="219"/>
      <c r="E24" s="215" t="s">
        <v>186</v>
      </c>
      <c r="F24" s="215"/>
      <c r="G24" s="215"/>
      <c r="H24" s="215"/>
      <c r="I24" s="215"/>
      <c r="J24" s="215"/>
      <c r="K24" s="215"/>
      <c r="L24" s="215"/>
    </row>
    <row r="25" spans="2:12" s="155" customFormat="1" ht="7.5" customHeight="1" x14ac:dyDescent="0.25">
      <c r="B25" s="157"/>
      <c r="C25" s="157"/>
      <c r="D25" s="157"/>
      <c r="E25" s="79"/>
      <c r="F25" s="158"/>
      <c r="G25" s="159"/>
      <c r="H25" s="159"/>
      <c r="I25" s="159"/>
      <c r="J25" s="159"/>
      <c r="K25" s="159"/>
      <c r="L25" s="159"/>
    </row>
    <row r="26" spans="2:12" s="155" customFormat="1" ht="17.25" customHeight="1" x14ac:dyDescent="0.25">
      <c r="B26" s="156"/>
      <c r="C26" s="219" t="s">
        <v>50</v>
      </c>
      <c r="D26" s="219"/>
      <c r="E26" s="215" t="s">
        <v>82</v>
      </c>
      <c r="F26" s="215"/>
      <c r="G26" s="215"/>
      <c r="H26" s="215"/>
      <c r="I26" s="215"/>
      <c r="J26" s="215"/>
      <c r="K26" s="215"/>
      <c r="L26" s="215"/>
    </row>
    <row r="27" spans="2:12" s="155" customFormat="1" ht="7.5" customHeight="1" x14ac:dyDescent="0.25">
      <c r="B27" s="157"/>
      <c r="C27" s="157"/>
      <c r="D27" s="157"/>
      <c r="E27" s="79"/>
      <c r="F27" s="158"/>
      <c r="G27" s="159"/>
      <c r="H27" s="159"/>
      <c r="I27" s="159"/>
      <c r="J27" s="159"/>
      <c r="K27" s="159"/>
      <c r="L27" s="159"/>
    </row>
    <row r="28" spans="2:12" s="155" customFormat="1" ht="17.850000000000001" customHeight="1" x14ac:dyDescent="0.25">
      <c r="B28" s="156"/>
      <c r="C28" s="219">
        <v>3</v>
      </c>
      <c r="D28" s="219"/>
      <c r="E28" s="215" t="s">
        <v>83</v>
      </c>
      <c r="F28" s="215"/>
      <c r="G28" s="215"/>
      <c r="H28" s="215"/>
      <c r="I28" s="215"/>
      <c r="J28" s="215"/>
      <c r="K28" s="215"/>
      <c r="L28" s="215"/>
    </row>
    <row r="29" spans="2:12" s="155" customFormat="1" ht="7.5" customHeight="1" x14ac:dyDescent="0.25">
      <c r="B29" s="160"/>
      <c r="C29" s="160"/>
      <c r="D29" s="160"/>
      <c r="E29" s="79"/>
      <c r="F29" s="158"/>
      <c r="G29" s="159"/>
      <c r="H29" s="159"/>
      <c r="I29" s="159"/>
      <c r="J29" s="159"/>
      <c r="K29" s="159"/>
      <c r="L29" s="159"/>
    </row>
    <row r="30" spans="2:12" ht="15.75" customHeight="1" x14ac:dyDescent="0.3">
      <c r="D30" s="161"/>
      <c r="E30" s="79"/>
      <c r="F30" s="158"/>
      <c r="G30" s="159"/>
      <c r="H30" s="159"/>
      <c r="I30" s="159"/>
      <c r="J30" s="159"/>
      <c r="K30" s="159"/>
      <c r="L30" s="159"/>
    </row>
    <row r="31" spans="2:12" ht="16.5" customHeight="1" x14ac:dyDescent="0.3">
      <c r="E31" s="223" t="s">
        <v>187</v>
      </c>
      <c r="F31" s="224"/>
      <c r="G31" s="224"/>
      <c r="H31" s="224"/>
      <c r="I31" s="224"/>
      <c r="J31" s="224"/>
      <c r="K31" s="224"/>
      <c r="L31" s="225"/>
    </row>
    <row r="32" spans="2:12" x14ac:dyDescent="0.3">
      <c r="E32" s="226"/>
      <c r="F32" s="227"/>
      <c r="G32" s="227"/>
      <c r="H32" s="227"/>
      <c r="I32" s="227"/>
      <c r="J32" s="227"/>
      <c r="K32" s="227"/>
      <c r="L32" s="228"/>
    </row>
    <row r="33" spans="5:12" x14ac:dyDescent="0.3">
      <c r="E33" s="226"/>
      <c r="F33" s="227"/>
      <c r="G33" s="227"/>
      <c r="H33" s="227"/>
      <c r="I33" s="227"/>
      <c r="J33" s="227"/>
      <c r="K33" s="227"/>
      <c r="L33" s="228"/>
    </row>
    <row r="34" spans="5:12" x14ac:dyDescent="0.3">
      <c r="E34" s="226"/>
      <c r="F34" s="227"/>
      <c r="G34" s="227"/>
      <c r="H34" s="227"/>
      <c r="I34" s="227"/>
      <c r="J34" s="227"/>
      <c r="K34" s="227"/>
      <c r="L34" s="228"/>
    </row>
    <row r="35" spans="5:12" x14ac:dyDescent="0.3">
      <c r="E35" s="226"/>
      <c r="F35" s="227"/>
      <c r="G35" s="227"/>
      <c r="H35" s="227"/>
      <c r="I35" s="227"/>
      <c r="J35" s="227"/>
      <c r="K35" s="227"/>
      <c r="L35" s="228"/>
    </row>
    <row r="36" spans="5:12" x14ac:dyDescent="0.3">
      <c r="E36" s="226"/>
      <c r="F36" s="227"/>
      <c r="G36" s="227"/>
      <c r="H36" s="227"/>
      <c r="I36" s="227"/>
      <c r="J36" s="227"/>
      <c r="K36" s="227"/>
      <c r="L36" s="228"/>
    </row>
    <row r="37" spans="5:12" x14ac:dyDescent="0.3">
      <c r="E37" s="226"/>
      <c r="F37" s="227"/>
      <c r="G37" s="227"/>
      <c r="H37" s="227"/>
      <c r="I37" s="227"/>
      <c r="J37" s="227"/>
      <c r="K37" s="227"/>
      <c r="L37" s="228"/>
    </row>
    <row r="38" spans="5:12" x14ac:dyDescent="0.3">
      <c r="E38" s="226"/>
      <c r="F38" s="227"/>
      <c r="G38" s="227"/>
      <c r="H38" s="227"/>
      <c r="I38" s="227"/>
      <c r="J38" s="227"/>
      <c r="K38" s="227"/>
      <c r="L38" s="228"/>
    </row>
    <row r="39" spans="5:12" x14ac:dyDescent="0.3">
      <c r="E39" s="226"/>
      <c r="F39" s="227"/>
      <c r="G39" s="227"/>
      <c r="H39" s="227"/>
      <c r="I39" s="227"/>
      <c r="J39" s="227"/>
      <c r="K39" s="227"/>
      <c r="L39" s="228"/>
    </row>
    <row r="40" spans="5:12" x14ac:dyDescent="0.3">
      <c r="E40" s="226"/>
      <c r="F40" s="227"/>
      <c r="G40" s="227"/>
      <c r="H40" s="227"/>
      <c r="I40" s="227"/>
      <c r="J40" s="227"/>
      <c r="K40" s="227"/>
      <c r="L40" s="228"/>
    </row>
    <row r="41" spans="5:12" x14ac:dyDescent="0.3">
      <c r="E41" s="226"/>
      <c r="F41" s="227"/>
      <c r="G41" s="227"/>
      <c r="H41" s="227"/>
      <c r="I41" s="227"/>
      <c r="J41" s="227"/>
      <c r="K41" s="227"/>
      <c r="L41" s="228"/>
    </row>
    <row r="42" spans="5:12" x14ac:dyDescent="0.3">
      <c r="E42" s="226"/>
      <c r="F42" s="227"/>
      <c r="G42" s="227"/>
      <c r="H42" s="227"/>
      <c r="I42" s="227"/>
      <c r="J42" s="227"/>
      <c r="K42" s="227"/>
      <c r="L42" s="228"/>
    </row>
    <row r="43" spans="5:12" x14ac:dyDescent="0.3">
      <c r="E43" s="226"/>
      <c r="F43" s="227"/>
      <c r="G43" s="227"/>
      <c r="H43" s="227"/>
      <c r="I43" s="227"/>
      <c r="J43" s="227"/>
      <c r="K43" s="227"/>
      <c r="L43" s="228"/>
    </row>
    <row r="44" spans="5:12" x14ac:dyDescent="0.3">
      <c r="E44" s="226"/>
      <c r="F44" s="227"/>
      <c r="G44" s="227"/>
      <c r="H44" s="227"/>
      <c r="I44" s="227"/>
      <c r="J44" s="227"/>
      <c r="K44" s="227"/>
      <c r="L44" s="228"/>
    </row>
    <row r="45" spans="5:12" x14ac:dyDescent="0.3">
      <c r="E45" s="226"/>
      <c r="F45" s="227"/>
      <c r="G45" s="227"/>
      <c r="H45" s="227"/>
      <c r="I45" s="227"/>
      <c r="J45" s="227"/>
      <c r="K45" s="227"/>
      <c r="L45" s="228"/>
    </row>
    <row r="46" spans="5:12" x14ac:dyDescent="0.3">
      <c r="E46" s="226"/>
      <c r="F46" s="227"/>
      <c r="G46" s="227"/>
      <c r="H46" s="227"/>
      <c r="I46" s="227"/>
      <c r="J46" s="227"/>
      <c r="K46" s="227"/>
      <c r="L46" s="228"/>
    </row>
    <row r="47" spans="5:12" ht="31.5" customHeight="1" x14ac:dyDescent="0.3">
      <c r="E47" s="229"/>
      <c r="F47" s="230"/>
      <c r="G47" s="230"/>
      <c r="H47" s="230"/>
      <c r="I47" s="230"/>
      <c r="J47" s="230"/>
      <c r="K47" s="230"/>
      <c r="L47" s="231"/>
    </row>
    <row r="48" spans="5:12" ht="15" customHeight="1" x14ac:dyDescent="0.3">
      <c r="E48" s="162"/>
      <c r="F48" s="162"/>
      <c r="G48" s="162"/>
      <c r="H48" s="162"/>
      <c r="I48" s="162"/>
      <c r="J48" s="162"/>
      <c r="K48" s="162"/>
      <c r="L48" s="162"/>
    </row>
    <row r="49" spans="5:12" ht="16.5" customHeight="1" x14ac:dyDescent="0.3">
      <c r="E49" s="214" t="s">
        <v>91</v>
      </c>
      <c r="F49" s="214"/>
      <c r="G49" s="214"/>
      <c r="H49" s="214"/>
      <c r="I49" s="214"/>
      <c r="J49" s="214"/>
      <c r="K49" s="214"/>
      <c r="L49" s="214"/>
    </row>
    <row r="50" spans="5:12" x14ac:dyDescent="0.3">
      <c r="E50" s="214"/>
      <c r="F50" s="214"/>
      <c r="G50" s="214"/>
      <c r="H50" s="214"/>
      <c r="I50" s="214"/>
      <c r="J50" s="214"/>
      <c r="K50" s="214"/>
      <c r="L50" s="214"/>
    </row>
    <row r="51" spans="5:12" x14ac:dyDescent="0.3">
      <c r="E51" s="163"/>
      <c r="F51" s="163"/>
      <c r="G51" s="163"/>
      <c r="H51" s="163"/>
      <c r="I51" s="163"/>
      <c r="J51" s="163"/>
      <c r="K51" s="163"/>
      <c r="L51" s="163"/>
    </row>
    <row r="52" spans="5:12" x14ac:dyDescent="0.3">
      <c r="E52" s="164"/>
      <c r="F52" s="164"/>
      <c r="G52" s="164"/>
      <c r="H52" s="164"/>
      <c r="I52" s="164"/>
      <c r="J52" s="164"/>
      <c r="K52" s="164"/>
      <c r="L52" s="164"/>
    </row>
    <row r="53" spans="5:12" x14ac:dyDescent="0.3">
      <c r="E53" s="164"/>
      <c r="F53" s="164"/>
      <c r="G53" s="164"/>
      <c r="H53" s="164"/>
      <c r="I53" s="164"/>
      <c r="J53" s="164"/>
      <c r="K53" s="164"/>
      <c r="L53" s="164"/>
    </row>
  </sheetData>
  <sheetProtection sheet="1" objects="1" scenarios="1"/>
  <mergeCells count="21">
    <mergeCell ref="C28:D28"/>
    <mergeCell ref="C22:D22"/>
    <mergeCell ref="E22:L22"/>
    <mergeCell ref="C24:D24"/>
    <mergeCell ref="E24:L24"/>
    <mergeCell ref="E49:L50"/>
    <mergeCell ref="E28:L28"/>
    <mergeCell ref="M2:M3"/>
    <mergeCell ref="E6:L6"/>
    <mergeCell ref="C16:D16"/>
    <mergeCell ref="E16:L16"/>
    <mergeCell ref="C18:D18"/>
    <mergeCell ref="E18:L18"/>
    <mergeCell ref="E8:L9"/>
    <mergeCell ref="E11:L11"/>
    <mergeCell ref="E31:L47"/>
    <mergeCell ref="C26:D26"/>
    <mergeCell ref="E26:L26"/>
    <mergeCell ref="E1:L4"/>
    <mergeCell ref="C20:D20"/>
    <mergeCell ref="E20:L20"/>
  </mergeCells>
  <hyperlinks>
    <hyperlink ref="E16" location="'0_Datos generales organización'!A1" display="Datos generales de la organización" xr:uid="{00000000-0004-0000-0000-000000000000}"/>
    <hyperlink ref="E18" location="'1_Combustibles fósiles'!A1" display="Huella de carbono Alcance 1: Combustibles fósiles" xr:uid="{00000000-0004-0000-0000-000001000000}"/>
    <hyperlink ref="E22" location="'2_Fluorados'!A1" display="Huella de carbono Alcance 1: Fugas de gases fluorados (equipos de climatización y refrigeración)" xr:uid="{00000000-0004-0000-0000-000002000000}"/>
    <hyperlink ref="E24" location="'3_Emisiones proceso'!A1" display="Huella de carbono Alcance 1: Emisiones de proceso" xr:uid="{00000000-0004-0000-0000-000003000000}"/>
    <hyperlink ref="E28" location="'4.1_Electricidad Illes Balears'!A1" display="Huella de carbono Alcance 2: Electricidad registro balear" xr:uid="{00000000-0004-0000-0000-000004000000}"/>
    <hyperlink ref="E22:L22" location="'2.3 Emisiones maquinaria'!A1" display="Cápsula 2.2: Emisiones de vehículos y maquinaria" xr:uid="{00000000-0004-0000-0000-000005000000}"/>
    <hyperlink ref="E16:L16" location="'1. Datos generales del proyecto'!A1" display="Datos generales del proyecto" xr:uid="{00000000-0004-0000-0000-000006000000}"/>
    <hyperlink ref="E18:L18" location="'2.1 Absorciones árboles'!A1" display="Cápsula 1.1: Absorciones de los árboles plantados o procedentes de regeneración natural    " xr:uid="{00000000-0004-0000-0000-000007000000}"/>
    <hyperlink ref="E24:L24" location="'2.4 Emisiones quema restos'!A1" display="Cápsula 2.3: Emisiones de CH4 i N2O por quema de restos de corta" xr:uid="{00000000-0004-0000-0000-000008000000}"/>
    <hyperlink ref="E28:L28" location="'3. Resultados'!A1" display="Resultados de absorciones del proyecto" xr:uid="{00000000-0004-0000-0000-000009000000}"/>
    <hyperlink ref="E20" location="'2_Fluorados'!A1" display="Huella de carbono Alcance 1: Fugas de gases fluorados (equipos de climatización y refrigeración)" xr:uid="{00000000-0004-0000-0000-00000A000000}"/>
    <hyperlink ref="E20:L20" location="'2.2 Emisiones restos corta'!A1" display="Cápsula 2.1: Emisiones de CO2 por descomposición y quema de restos de corta y raíces muertas" xr:uid="{00000000-0004-0000-0000-00000B000000}"/>
    <hyperlink ref="E26" location="'4.1_Electricidad Illes Balears'!A1" display="Huella de carbono Alcance 2: Electricidad registro balear" xr:uid="{00000000-0004-0000-0000-00000C000000}"/>
    <hyperlink ref="E26:L26" location="'2.5 Emisiones productos'!A1" display="Cápsula 2.4: Emisiones de los productos madereros" xr:uid="{00000000-0004-0000-0000-00000D000000}"/>
  </hyperlinks>
  <pageMargins left="0.75" right="0.75" top="1" bottom="1" header="0.51180555555555496" footer="0.51180555555555496"/>
  <pageSetup paperSize="9" scale="45" firstPageNumber="0"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ALZ282"/>
  <sheetViews>
    <sheetView zoomScale="90" zoomScaleNormal="90" workbookViewId="0">
      <pane xSplit="1" topLeftCell="B1" activePane="topRight" state="frozen"/>
      <selection pane="topRight" activeCell="G13" sqref="G13:M19"/>
    </sheetView>
  </sheetViews>
  <sheetFormatPr baseColWidth="10" defaultColWidth="9.140625" defaultRowHeight="15" x14ac:dyDescent="0.25"/>
  <cols>
    <col min="1" max="1" width="55.7109375" style="2" customWidth="1"/>
    <col min="2" max="2" width="2.140625" style="2" customWidth="1"/>
    <col min="3" max="3" width="2.42578125" style="2" customWidth="1"/>
    <col min="4" max="4" width="9.42578125" style="2" customWidth="1"/>
    <col min="5" max="5" width="14.140625" style="2" customWidth="1"/>
    <col min="6" max="6" width="19.28515625" style="2" customWidth="1"/>
    <col min="7" max="7" width="20.42578125" style="2" customWidth="1"/>
    <col min="8" max="8" width="16.140625" style="2" customWidth="1"/>
    <col min="9" max="9" width="15.42578125" style="2" customWidth="1"/>
    <col min="10" max="10" width="15.140625" style="2" customWidth="1"/>
    <col min="11" max="11" width="15.7109375" style="2" customWidth="1"/>
    <col min="12" max="12" width="19.7109375" style="2" customWidth="1"/>
    <col min="13" max="13" width="22.42578125" style="2" customWidth="1"/>
    <col min="14" max="14" width="4.5703125" style="2" customWidth="1"/>
    <col min="15" max="15" width="17.5703125" style="2" customWidth="1"/>
    <col min="16" max="16" width="20.140625" style="2" customWidth="1"/>
    <col min="17" max="17" width="18.28515625" style="2" customWidth="1"/>
    <col min="18" max="18" width="3.140625" style="2" customWidth="1"/>
    <col min="19" max="1014" width="11.42578125" style="2"/>
  </cols>
  <sheetData>
    <row r="1" spans="1:18" ht="40.700000000000003" customHeight="1" x14ac:dyDescent="0.25">
      <c r="B1" s="3"/>
      <c r="C1" s="294" t="s">
        <v>90</v>
      </c>
      <c r="D1" s="295"/>
      <c r="E1" s="295"/>
      <c r="F1" s="295"/>
      <c r="G1" s="295"/>
      <c r="H1" s="295"/>
      <c r="I1" s="295"/>
      <c r="J1" s="295"/>
      <c r="K1" s="295"/>
      <c r="L1" s="295"/>
      <c r="M1" s="295"/>
      <c r="N1" s="295"/>
      <c r="O1" s="165"/>
      <c r="P1" s="165"/>
      <c r="Q1" s="165"/>
      <c r="R1" s="165"/>
    </row>
    <row r="2" spans="1:18" ht="24" customHeight="1" x14ac:dyDescent="0.3">
      <c r="B2" s="3"/>
      <c r="H2" s="1"/>
      <c r="I2" s="1"/>
      <c r="J2" s="1"/>
      <c r="K2" s="1"/>
      <c r="L2" s="1"/>
      <c r="M2" s="1"/>
    </row>
    <row r="3" spans="1:18" ht="16.5" customHeight="1" x14ac:dyDescent="0.25">
      <c r="B3" s="3"/>
      <c r="D3" s="221" t="s">
        <v>188</v>
      </c>
      <c r="E3" s="221"/>
      <c r="F3" s="221"/>
      <c r="G3" s="221"/>
      <c r="H3" s="221"/>
      <c r="I3" s="221"/>
      <c r="J3" s="221"/>
      <c r="K3" s="221"/>
      <c r="L3" s="221"/>
      <c r="M3" s="221"/>
      <c r="N3" s="166"/>
    </row>
    <row r="4" spans="1:18" ht="16.5" x14ac:dyDescent="0.3">
      <c r="A4" s="144" t="s">
        <v>85</v>
      </c>
      <c r="B4" s="3"/>
      <c r="D4" s="221"/>
      <c r="E4" s="221"/>
      <c r="F4" s="221"/>
      <c r="G4" s="221"/>
      <c r="H4" s="221"/>
      <c r="I4" s="221"/>
      <c r="J4" s="221"/>
      <c r="K4" s="221"/>
      <c r="L4" s="221"/>
      <c r="M4" s="221"/>
      <c r="N4" s="166"/>
    </row>
    <row r="5" spans="1:18" ht="16.5" x14ac:dyDescent="0.3">
      <c r="A5" s="144" t="s">
        <v>86</v>
      </c>
      <c r="B5" s="3"/>
      <c r="D5" s="221"/>
      <c r="E5" s="221"/>
      <c r="F5" s="221"/>
      <c r="G5" s="221"/>
      <c r="H5" s="221"/>
      <c r="I5" s="221"/>
      <c r="J5" s="221"/>
      <c r="K5" s="221"/>
      <c r="L5" s="221"/>
      <c r="M5" s="221"/>
      <c r="N5" s="166"/>
    </row>
    <row r="6" spans="1:18" ht="18" x14ac:dyDescent="0.35">
      <c r="A6" s="144" t="s">
        <v>266</v>
      </c>
      <c r="B6" s="3"/>
      <c r="D6" s="221"/>
      <c r="E6" s="221"/>
      <c r="F6" s="221"/>
      <c r="G6" s="221"/>
      <c r="H6" s="221"/>
      <c r="I6" s="221"/>
      <c r="J6" s="221"/>
      <c r="K6" s="221"/>
      <c r="L6" s="221"/>
      <c r="M6" s="221"/>
      <c r="N6" s="166"/>
    </row>
    <row r="7" spans="1:18" ht="16.5" x14ac:dyDescent="0.3">
      <c r="A7" s="144" t="s">
        <v>87</v>
      </c>
      <c r="B7" s="3"/>
      <c r="D7" s="221"/>
      <c r="E7" s="221"/>
      <c r="F7" s="221"/>
      <c r="G7" s="221"/>
      <c r="H7" s="221"/>
      <c r="I7" s="221"/>
      <c r="J7" s="221"/>
      <c r="K7" s="221"/>
      <c r="L7" s="221"/>
      <c r="M7" s="221"/>
      <c r="N7" s="166"/>
    </row>
    <row r="8" spans="1:18" ht="18" x14ac:dyDescent="0.35">
      <c r="A8" s="144" t="s">
        <v>267</v>
      </c>
      <c r="B8" s="3"/>
      <c r="D8" s="221"/>
      <c r="E8" s="221"/>
      <c r="F8" s="221"/>
      <c r="G8" s="221"/>
      <c r="H8" s="221"/>
      <c r="I8" s="221"/>
      <c r="J8" s="221"/>
      <c r="K8" s="221"/>
      <c r="L8" s="221"/>
      <c r="M8" s="221"/>
      <c r="N8" s="166"/>
    </row>
    <row r="9" spans="1:18" ht="16.5" x14ac:dyDescent="0.3">
      <c r="A9" s="144" t="s">
        <v>88</v>
      </c>
      <c r="B9" s="3"/>
      <c r="D9" s="221"/>
      <c r="E9" s="221"/>
      <c r="F9" s="221"/>
      <c r="G9" s="221"/>
      <c r="H9" s="221"/>
      <c r="I9" s="221"/>
      <c r="J9" s="221"/>
      <c r="K9" s="221"/>
      <c r="L9" s="221"/>
      <c r="M9" s="221"/>
      <c r="N9" s="166"/>
    </row>
    <row r="10" spans="1:18" ht="16.5" x14ac:dyDescent="0.3">
      <c r="A10" s="144" t="s">
        <v>89</v>
      </c>
      <c r="B10" s="3"/>
      <c r="D10" s="221"/>
      <c r="E10" s="221"/>
      <c r="F10" s="221"/>
      <c r="G10" s="221"/>
      <c r="H10" s="221"/>
      <c r="I10" s="221"/>
      <c r="J10" s="221"/>
      <c r="K10" s="221"/>
      <c r="L10" s="221"/>
      <c r="M10" s="221"/>
      <c r="N10" s="166"/>
    </row>
    <row r="11" spans="1:18" ht="16.5" x14ac:dyDescent="0.3">
      <c r="A11" s="144"/>
      <c r="B11" s="3"/>
      <c r="D11" s="221"/>
      <c r="E11" s="221"/>
      <c r="F11" s="221"/>
      <c r="G11" s="221"/>
      <c r="H11" s="221"/>
      <c r="I11" s="221"/>
      <c r="J11" s="221"/>
      <c r="K11" s="221"/>
      <c r="L11" s="221"/>
      <c r="M11" s="221"/>
      <c r="N11" s="166"/>
    </row>
    <row r="12" spans="1:18" ht="16.5" x14ac:dyDescent="0.3">
      <c r="A12" s="144"/>
      <c r="B12" s="3"/>
      <c r="D12" s="193"/>
      <c r="E12" s="193"/>
      <c r="F12" s="193"/>
      <c r="G12" s="193"/>
      <c r="H12" s="193"/>
      <c r="I12" s="193"/>
      <c r="J12" s="193"/>
      <c r="K12" s="193"/>
      <c r="L12" s="193"/>
      <c r="M12" s="193"/>
      <c r="N12" s="166"/>
    </row>
    <row r="13" spans="1:18" ht="66" customHeight="1" x14ac:dyDescent="0.3">
      <c r="A13" s="144"/>
      <c r="B13" s="3"/>
      <c r="D13" s="193"/>
      <c r="E13" s="193"/>
      <c r="F13" s="193"/>
      <c r="G13" s="227" t="s">
        <v>92</v>
      </c>
      <c r="H13" s="227"/>
      <c r="I13" s="227"/>
      <c r="J13" s="227"/>
      <c r="K13" s="227"/>
      <c r="L13" s="227"/>
      <c r="M13" s="227"/>
      <c r="N13" s="166"/>
    </row>
    <row r="14" spans="1:18" ht="16.5" x14ac:dyDescent="0.3">
      <c r="A14" s="144"/>
      <c r="B14" s="3"/>
      <c r="D14" s="193"/>
      <c r="E14" s="193"/>
      <c r="F14" s="193"/>
      <c r="G14" s="227"/>
      <c r="H14" s="227"/>
      <c r="I14" s="227"/>
      <c r="J14" s="227"/>
      <c r="K14" s="227"/>
      <c r="L14" s="227"/>
      <c r="M14" s="227"/>
      <c r="N14" s="166"/>
    </row>
    <row r="15" spans="1:18" ht="16.5" x14ac:dyDescent="0.3">
      <c r="A15" s="144"/>
      <c r="B15" s="3"/>
      <c r="D15" s="193"/>
      <c r="E15" s="193"/>
      <c r="F15" s="193"/>
      <c r="G15" s="227"/>
      <c r="H15" s="227"/>
      <c r="I15" s="227"/>
      <c r="J15" s="227"/>
      <c r="K15" s="227"/>
      <c r="L15" s="227"/>
      <c r="M15" s="227"/>
      <c r="N15" s="166"/>
    </row>
    <row r="16" spans="1:18" ht="16.5" x14ac:dyDescent="0.3">
      <c r="A16" s="144"/>
      <c r="B16" s="3"/>
      <c r="D16" s="193"/>
      <c r="E16" s="193"/>
      <c r="F16" s="193"/>
      <c r="G16" s="227"/>
      <c r="H16" s="227"/>
      <c r="I16" s="227"/>
      <c r="J16" s="227"/>
      <c r="K16" s="227"/>
      <c r="L16" s="227"/>
      <c r="M16" s="227"/>
      <c r="N16" s="166"/>
    </row>
    <row r="17" spans="1:17" ht="16.5" x14ac:dyDescent="0.3">
      <c r="A17" s="144"/>
      <c r="B17" s="3"/>
      <c r="D17" s="193"/>
      <c r="E17" s="193"/>
      <c r="F17" s="193"/>
      <c r="G17" s="227"/>
      <c r="H17" s="227"/>
      <c r="I17" s="227"/>
      <c r="J17" s="227"/>
      <c r="K17" s="227"/>
      <c r="L17" s="227"/>
      <c r="M17" s="227"/>
      <c r="N17" s="166"/>
    </row>
    <row r="18" spans="1:17" ht="16.5" x14ac:dyDescent="0.3">
      <c r="A18" s="144"/>
      <c r="B18" s="3"/>
      <c r="D18" s="193"/>
      <c r="E18" s="193"/>
      <c r="F18" s="193"/>
      <c r="G18" s="227"/>
      <c r="H18" s="227"/>
      <c r="I18" s="227"/>
      <c r="J18" s="227"/>
      <c r="K18" s="227"/>
      <c r="L18" s="227"/>
      <c r="M18" s="227"/>
      <c r="N18" s="166"/>
    </row>
    <row r="19" spans="1:17" ht="16.5" x14ac:dyDescent="0.3">
      <c r="A19" s="144"/>
      <c r="B19" s="3"/>
      <c r="D19" s="193"/>
      <c r="E19" s="193"/>
      <c r="F19" s="193"/>
      <c r="G19" s="227"/>
      <c r="H19" s="227"/>
      <c r="I19" s="227"/>
      <c r="J19" s="227"/>
      <c r="K19" s="227"/>
      <c r="L19" s="227"/>
      <c r="M19" s="227"/>
      <c r="N19" s="166"/>
    </row>
    <row r="20" spans="1:17" ht="17.25" thickBot="1" x14ac:dyDescent="0.35">
      <c r="A20" s="144"/>
      <c r="B20" s="3"/>
      <c r="D20" s="193"/>
      <c r="E20" s="193"/>
      <c r="F20" s="193"/>
      <c r="G20" s="193"/>
      <c r="H20" s="193"/>
      <c r="I20" s="193"/>
      <c r="J20" s="193"/>
      <c r="K20" s="193"/>
      <c r="L20" s="193"/>
      <c r="M20" s="193"/>
      <c r="N20" s="166"/>
    </row>
    <row r="21" spans="1:17" ht="16.5" customHeight="1" thickBot="1" x14ac:dyDescent="0.3">
      <c r="A21" s="5"/>
      <c r="B21" s="4"/>
      <c r="D21" s="289" t="s">
        <v>93</v>
      </c>
      <c r="E21" s="290"/>
      <c r="F21" s="291"/>
      <c r="G21" s="278"/>
      <c r="H21" s="279"/>
      <c r="I21" s="279"/>
      <c r="J21" s="279"/>
      <c r="K21" s="279"/>
      <c r="L21" s="279"/>
      <c r="M21" s="280"/>
      <c r="O21" s="265" t="s">
        <v>2</v>
      </c>
      <c r="P21" s="265"/>
      <c r="Q21" s="265"/>
    </row>
    <row r="22" spans="1:17" ht="17.25" thickBot="1" x14ac:dyDescent="0.35">
      <c r="A22" s="5"/>
      <c r="B22" s="4"/>
      <c r="H22" s="1"/>
      <c r="I22" s="1"/>
      <c r="M22" s="1"/>
    </row>
    <row r="23" spans="1:17" ht="18.75" customHeight="1" thickBot="1" x14ac:dyDescent="0.3">
      <c r="A23" s="5"/>
      <c r="B23" s="4"/>
      <c r="D23" s="300" t="s">
        <v>94</v>
      </c>
      <c r="E23" s="301"/>
      <c r="F23" s="301"/>
      <c r="G23" s="301"/>
      <c r="H23" s="301"/>
      <c r="I23" s="301"/>
      <c r="J23" s="301"/>
      <c r="K23" s="296" t="s">
        <v>3</v>
      </c>
      <c r="L23" s="296"/>
      <c r="M23" s="297"/>
      <c r="O23" s="46" t="s">
        <v>4</v>
      </c>
      <c r="P23" s="46" t="s">
        <v>3</v>
      </c>
      <c r="Q23" s="46" t="s">
        <v>5</v>
      </c>
    </row>
    <row r="24" spans="1:17" ht="16.350000000000001" customHeight="1" thickBot="1" x14ac:dyDescent="0.35">
      <c r="B24" s="4"/>
      <c r="D24" s="302"/>
      <c r="E24" s="298"/>
      <c r="F24" s="298"/>
      <c r="G24" s="298"/>
      <c r="H24" s="298"/>
      <c r="I24" s="298"/>
      <c r="J24" s="298"/>
      <c r="K24" s="298"/>
      <c r="L24" s="298"/>
      <c r="M24" s="299"/>
      <c r="O24" s="64"/>
      <c r="P24" s="64"/>
      <c r="Q24" s="64"/>
    </row>
    <row r="25" spans="1:17" ht="16.350000000000001" customHeight="1" thickBot="1" x14ac:dyDescent="0.35">
      <c r="J25" s="1"/>
      <c r="O25" s="64"/>
      <c r="P25" s="64"/>
      <c r="Q25" s="64"/>
    </row>
    <row r="26" spans="1:17" ht="16.5" customHeight="1" thickBot="1" x14ac:dyDescent="0.3">
      <c r="D26" s="289" t="s">
        <v>95</v>
      </c>
      <c r="E26" s="290"/>
      <c r="F26" s="290"/>
      <c r="G26" s="290" t="s">
        <v>96</v>
      </c>
      <c r="H26" s="290"/>
      <c r="I26" s="290"/>
      <c r="J26" s="290"/>
      <c r="K26" s="290" t="s">
        <v>97</v>
      </c>
      <c r="L26" s="290"/>
      <c r="M26" s="291"/>
      <c r="O26" s="64"/>
      <c r="P26" s="64"/>
      <c r="Q26" s="64"/>
    </row>
    <row r="27" spans="1:17" ht="16.5" customHeight="1" thickBot="1" x14ac:dyDescent="0.3">
      <c r="D27" s="303"/>
      <c r="E27" s="304"/>
      <c r="F27" s="304"/>
      <c r="G27" s="304"/>
      <c r="H27" s="304"/>
      <c r="I27" s="304"/>
      <c r="J27" s="304"/>
      <c r="K27" s="304"/>
      <c r="L27" s="304"/>
      <c r="M27" s="305"/>
      <c r="O27" s="64"/>
      <c r="P27" s="64"/>
      <c r="Q27" s="64"/>
    </row>
    <row r="28" spans="1:17" ht="17.25" customHeight="1" thickBot="1" x14ac:dyDescent="0.3">
      <c r="O28" s="64"/>
      <c r="P28" s="64"/>
      <c r="Q28" s="64"/>
    </row>
    <row r="29" spans="1:17" ht="17.25" customHeight="1" x14ac:dyDescent="0.25">
      <c r="D29" s="238" t="s">
        <v>67</v>
      </c>
      <c r="E29" s="239"/>
      <c r="F29" s="242" t="s">
        <v>98</v>
      </c>
      <c r="G29" s="239"/>
      <c r="H29" s="242" t="s">
        <v>99</v>
      </c>
      <c r="I29" s="239"/>
      <c r="J29" s="244" t="s">
        <v>100</v>
      </c>
      <c r="K29" s="245"/>
      <c r="L29" s="242" t="s">
        <v>101</v>
      </c>
      <c r="M29" s="248"/>
      <c r="O29" s="64"/>
      <c r="P29" s="64"/>
      <c r="Q29" s="64"/>
    </row>
    <row r="30" spans="1:17" ht="17.25" customHeight="1" thickBot="1" x14ac:dyDescent="0.3">
      <c r="A30" s="5"/>
      <c r="D30" s="240"/>
      <c r="E30" s="241"/>
      <c r="F30" s="243"/>
      <c r="G30" s="241"/>
      <c r="H30" s="243"/>
      <c r="I30" s="241"/>
      <c r="J30" s="246"/>
      <c r="K30" s="247"/>
      <c r="L30" s="243"/>
      <c r="M30" s="249"/>
      <c r="O30" s="64"/>
      <c r="P30" s="64"/>
      <c r="Q30" s="64"/>
    </row>
    <row r="31" spans="1:17" ht="16.5" x14ac:dyDescent="0.3">
      <c r="D31" s="258"/>
      <c r="E31" s="256"/>
      <c r="F31" s="256"/>
      <c r="G31" s="256"/>
      <c r="H31" s="257"/>
      <c r="I31" s="257"/>
      <c r="J31" s="256"/>
      <c r="K31" s="256"/>
      <c r="L31" s="292" t="str">
        <f>'2.1 Absorciones árboles'!G7</f>
        <v/>
      </c>
      <c r="M31" s="293"/>
      <c r="O31" s="64"/>
      <c r="P31" s="64"/>
      <c r="Q31" s="64"/>
    </row>
    <row r="32" spans="1:17" ht="16.5" x14ac:dyDescent="0.25">
      <c r="D32" s="277"/>
      <c r="E32" s="259"/>
      <c r="F32" s="259"/>
      <c r="G32" s="259"/>
      <c r="H32" s="260"/>
      <c r="I32" s="260"/>
      <c r="J32" s="259"/>
      <c r="K32" s="259"/>
      <c r="L32" s="261" t="str">
        <f>'2.1 Absorciones árboles'!G17</f>
        <v/>
      </c>
      <c r="M32" s="262"/>
      <c r="O32" s="64"/>
      <c r="P32" s="64"/>
      <c r="Q32" s="64"/>
    </row>
    <row r="33" spans="1:20" ht="16.5" x14ac:dyDescent="0.25">
      <c r="A33" s="5"/>
      <c r="D33" s="263"/>
      <c r="E33" s="253"/>
      <c r="F33" s="253"/>
      <c r="G33" s="253"/>
      <c r="H33" s="264"/>
      <c r="I33" s="264"/>
      <c r="J33" s="253"/>
      <c r="K33" s="253"/>
      <c r="L33" s="254" t="str">
        <f>'2.1 Absorciones árboles'!G27</f>
        <v/>
      </c>
      <c r="M33" s="255"/>
      <c r="O33" s="64"/>
      <c r="P33" s="64"/>
      <c r="Q33" s="64"/>
    </row>
    <row r="34" spans="1:20" ht="16.5" x14ac:dyDescent="0.3">
      <c r="A34" s="5"/>
      <c r="D34" s="250"/>
      <c r="E34" s="251"/>
      <c r="F34" s="251"/>
      <c r="G34" s="251"/>
      <c r="H34" s="252"/>
      <c r="I34" s="252"/>
      <c r="J34" s="251"/>
      <c r="K34" s="251"/>
      <c r="L34" s="281" t="str">
        <f>'2.1 Absorciones árboles'!G37</f>
        <v/>
      </c>
      <c r="M34" s="282"/>
    </row>
    <row r="35" spans="1:20" ht="17.25" thickBot="1" x14ac:dyDescent="0.3">
      <c r="D35" s="283"/>
      <c r="E35" s="284"/>
      <c r="F35" s="285"/>
      <c r="G35" s="285"/>
      <c r="H35" s="286"/>
      <c r="I35" s="286"/>
      <c r="J35" s="285"/>
      <c r="K35" s="285"/>
      <c r="L35" s="287" t="str">
        <f>'2.1 Absorciones árboles'!G47</f>
        <v/>
      </c>
      <c r="M35" s="288"/>
    </row>
    <row r="36" spans="1:20" ht="17.25" thickBot="1" x14ac:dyDescent="0.3">
      <c r="D36" s="234" t="s">
        <v>7</v>
      </c>
      <c r="E36" s="235"/>
      <c r="F36" s="236" t="s">
        <v>6</v>
      </c>
      <c r="G36" s="236"/>
      <c r="H36" s="233" t="str">
        <f>IF(SUM(H31:I35)=0,"",SUM(H31:I35))</f>
        <v/>
      </c>
      <c r="I36" s="233"/>
      <c r="J36" s="236" t="s">
        <v>6</v>
      </c>
      <c r="K36" s="236"/>
      <c r="L36" s="236" t="s">
        <v>6</v>
      </c>
      <c r="M36" s="237"/>
    </row>
    <row r="37" spans="1:20" x14ac:dyDescent="0.25">
      <c r="D37" s="46"/>
      <c r="E37" s="64"/>
      <c r="F37" s="64"/>
      <c r="G37" s="64"/>
      <c r="H37" s="64"/>
      <c r="I37" s="64"/>
      <c r="J37" s="64"/>
      <c r="K37" s="64"/>
      <c r="L37" s="167"/>
      <c r="M37" s="64"/>
    </row>
    <row r="38" spans="1:20" x14ac:dyDescent="0.25">
      <c r="D38" s="268" t="s">
        <v>189</v>
      </c>
      <c r="E38" s="269"/>
      <c r="F38" s="269"/>
      <c r="G38" s="269"/>
      <c r="H38" s="269"/>
      <c r="I38" s="269"/>
      <c r="J38" s="269"/>
      <c r="K38" s="269"/>
      <c r="L38" s="269"/>
      <c r="M38" s="270"/>
    </row>
    <row r="39" spans="1:20" x14ac:dyDescent="0.25">
      <c r="D39" s="271"/>
      <c r="E39" s="272"/>
      <c r="F39" s="272"/>
      <c r="G39" s="272"/>
      <c r="H39" s="272"/>
      <c r="I39" s="272"/>
      <c r="J39" s="272"/>
      <c r="K39" s="272"/>
      <c r="L39" s="272"/>
      <c r="M39" s="273"/>
    </row>
    <row r="40" spans="1:20" x14ac:dyDescent="0.25">
      <c r="D40" s="271"/>
      <c r="E40" s="272"/>
      <c r="F40" s="272"/>
      <c r="G40" s="272"/>
      <c r="H40" s="272"/>
      <c r="I40" s="272"/>
      <c r="J40" s="272"/>
      <c r="K40" s="272"/>
      <c r="L40" s="272"/>
      <c r="M40" s="273"/>
    </row>
    <row r="41" spans="1:20" x14ac:dyDescent="0.25">
      <c r="D41" s="271"/>
      <c r="E41" s="272"/>
      <c r="F41" s="272"/>
      <c r="G41" s="272"/>
      <c r="H41" s="272"/>
      <c r="I41" s="272"/>
      <c r="J41" s="272"/>
      <c r="K41" s="272"/>
      <c r="L41" s="272"/>
      <c r="M41" s="273"/>
    </row>
    <row r="42" spans="1:20" ht="15.75" customHeight="1" x14ac:dyDescent="0.25">
      <c r="D42" s="271"/>
      <c r="E42" s="272"/>
      <c r="F42" s="272"/>
      <c r="G42" s="272"/>
      <c r="H42" s="272"/>
      <c r="I42" s="272"/>
      <c r="J42" s="272"/>
      <c r="K42" s="272"/>
      <c r="L42" s="272"/>
      <c r="M42" s="273"/>
    </row>
    <row r="43" spans="1:20" x14ac:dyDescent="0.25">
      <c r="D43" s="274"/>
      <c r="E43" s="275"/>
      <c r="F43" s="275"/>
      <c r="G43" s="275"/>
      <c r="H43" s="275"/>
      <c r="I43" s="275"/>
      <c r="J43" s="275"/>
      <c r="K43" s="275"/>
      <c r="L43" s="275"/>
      <c r="M43" s="276"/>
    </row>
    <row r="44" spans="1:20" x14ac:dyDescent="0.25">
      <c r="D44" s="46">
        <v>12</v>
      </c>
      <c r="E44" s="46"/>
      <c r="F44" s="46"/>
      <c r="G44" s="46"/>
      <c r="H44" s="46"/>
      <c r="I44" s="46"/>
      <c r="J44" s="46"/>
      <c r="K44" s="46"/>
      <c r="L44" s="46"/>
      <c r="M44" s="46"/>
      <c r="N44" s="46"/>
      <c r="O44" s="46"/>
      <c r="P44" s="46"/>
      <c r="Q44" s="46"/>
      <c r="R44" s="46"/>
      <c r="S44" s="46"/>
      <c r="T44" s="46"/>
    </row>
    <row r="45" spans="1:20" x14ac:dyDescent="0.25">
      <c r="D45" s="46">
        <v>13</v>
      </c>
      <c r="E45" s="46"/>
      <c r="F45" s="46"/>
      <c r="G45" s="46"/>
      <c r="H45" s="46"/>
      <c r="I45" s="46"/>
      <c r="J45" s="46"/>
      <c r="K45" s="46"/>
      <c r="L45" s="46"/>
      <c r="M45" s="46"/>
      <c r="N45" s="46"/>
      <c r="O45" s="46"/>
      <c r="P45" s="46"/>
      <c r="Q45" s="46"/>
      <c r="R45" s="46"/>
      <c r="S45" s="46"/>
      <c r="T45" s="46"/>
    </row>
    <row r="46" spans="1:20" x14ac:dyDescent="0.25">
      <c r="D46" s="46">
        <v>14</v>
      </c>
      <c r="E46" s="46"/>
      <c r="F46" s="46"/>
      <c r="G46" s="46"/>
      <c r="H46" s="46"/>
      <c r="I46" s="46"/>
      <c r="J46" s="46"/>
      <c r="K46" s="46"/>
      <c r="L46" s="46"/>
      <c r="M46" s="46"/>
      <c r="N46" s="46"/>
      <c r="O46" s="46"/>
      <c r="P46" s="46"/>
      <c r="Q46" s="46"/>
      <c r="R46" s="46"/>
      <c r="S46" s="46"/>
      <c r="T46" s="46"/>
    </row>
    <row r="47" spans="1:20" x14ac:dyDescent="0.25">
      <c r="D47" s="46">
        <v>15</v>
      </c>
      <c r="E47" s="46"/>
      <c r="F47" s="46"/>
      <c r="G47" s="46"/>
      <c r="H47" s="46"/>
      <c r="I47" s="46"/>
      <c r="J47" s="46"/>
      <c r="K47" s="46"/>
      <c r="L47" s="46"/>
      <c r="M47" s="46"/>
      <c r="N47" s="46"/>
      <c r="O47" s="46"/>
      <c r="P47" s="46"/>
      <c r="Q47" s="46"/>
      <c r="R47" s="46"/>
      <c r="S47" s="46"/>
      <c r="T47" s="46"/>
    </row>
    <row r="48" spans="1:20" x14ac:dyDescent="0.25">
      <c r="D48" s="46">
        <v>16</v>
      </c>
      <c r="E48" s="46"/>
      <c r="F48" s="46"/>
      <c r="G48" s="46"/>
      <c r="H48" s="46"/>
      <c r="I48" s="46"/>
      <c r="J48" s="46"/>
      <c r="K48" s="46"/>
      <c r="L48" s="46"/>
      <c r="M48" s="46"/>
      <c r="N48" s="46"/>
      <c r="O48" s="46"/>
      <c r="P48" s="46"/>
      <c r="Q48" s="46"/>
      <c r="R48" s="46"/>
      <c r="S48" s="46"/>
      <c r="T48" s="46"/>
    </row>
    <row r="49" spans="3:20" x14ac:dyDescent="0.25">
      <c r="D49" s="46">
        <v>17</v>
      </c>
      <c r="E49" s="46"/>
      <c r="F49" s="46"/>
      <c r="G49" s="46"/>
      <c r="H49" s="46"/>
      <c r="I49" s="46"/>
      <c r="J49" s="46"/>
      <c r="K49" s="46"/>
      <c r="L49" s="46"/>
      <c r="M49" s="46"/>
      <c r="N49" s="46"/>
      <c r="O49" s="46"/>
      <c r="P49" s="46"/>
      <c r="Q49" s="46"/>
      <c r="R49" s="46"/>
      <c r="S49" s="46"/>
      <c r="T49" s="46"/>
    </row>
    <row r="50" spans="3:20" x14ac:dyDescent="0.25">
      <c r="C50" s="43"/>
      <c r="D50" s="46">
        <v>18</v>
      </c>
      <c r="E50" s="46"/>
      <c r="F50" s="46"/>
      <c r="G50" s="46"/>
      <c r="H50" s="46"/>
      <c r="I50" s="46"/>
      <c r="J50" s="46"/>
      <c r="K50" s="46"/>
      <c r="L50" s="46"/>
      <c r="M50" s="46"/>
      <c r="N50" s="46"/>
      <c r="O50" s="46"/>
      <c r="P50" s="46"/>
      <c r="Q50" s="46"/>
      <c r="R50" s="46"/>
      <c r="S50" s="46"/>
      <c r="T50" s="46"/>
    </row>
    <row r="51" spans="3:20" x14ac:dyDescent="0.25">
      <c r="D51" s="46">
        <v>19</v>
      </c>
      <c r="E51" s="46"/>
      <c r="F51" s="46"/>
      <c r="G51" s="46"/>
      <c r="H51" s="46"/>
      <c r="I51" s="46"/>
      <c r="J51" s="46"/>
      <c r="K51" s="46"/>
      <c r="L51" s="46"/>
      <c r="M51" s="46"/>
      <c r="N51" s="46"/>
      <c r="O51" s="46"/>
      <c r="P51" s="46"/>
      <c r="Q51" s="46"/>
      <c r="R51" s="46"/>
      <c r="S51" s="46"/>
      <c r="T51" s="46"/>
    </row>
    <row r="52" spans="3:20" x14ac:dyDescent="0.25">
      <c r="D52" s="46">
        <v>20</v>
      </c>
      <c r="E52" s="46"/>
      <c r="F52" s="46"/>
      <c r="G52" s="46"/>
      <c r="H52" s="46"/>
      <c r="I52" s="46"/>
      <c r="J52" s="46"/>
      <c r="K52" s="46"/>
      <c r="L52" s="46"/>
      <c r="M52" s="46"/>
      <c r="N52" s="46"/>
      <c r="O52" s="46"/>
      <c r="P52" s="46"/>
      <c r="Q52" s="46"/>
      <c r="R52" s="46"/>
      <c r="S52" s="46"/>
      <c r="T52" s="46"/>
    </row>
    <row r="53" spans="3:20" x14ac:dyDescent="0.25">
      <c r="D53" s="46">
        <v>21</v>
      </c>
      <c r="E53" s="46"/>
      <c r="F53" s="46"/>
      <c r="G53" s="46"/>
      <c r="H53" s="46"/>
      <c r="I53" s="46"/>
      <c r="J53" s="46"/>
      <c r="K53" s="46"/>
      <c r="L53" s="46"/>
      <c r="M53" s="46"/>
      <c r="N53" s="46"/>
      <c r="O53" s="46"/>
      <c r="P53" s="46"/>
      <c r="Q53" s="46"/>
      <c r="R53" s="46"/>
      <c r="S53" s="46"/>
      <c r="T53" s="46"/>
    </row>
    <row r="54" spans="3:20" x14ac:dyDescent="0.25">
      <c r="D54" s="46">
        <v>22</v>
      </c>
      <c r="E54" s="46"/>
      <c r="F54" s="46"/>
      <c r="G54" s="46"/>
      <c r="H54" s="46"/>
      <c r="I54" s="46"/>
      <c r="J54" s="46"/>
      <c r="K54" s="46"/>
      <c r="L54" s="46"/>
      <c r="M54" s="46"/>
      <c r="N54" s="46"/>
      <c r="O54" s="46"/>
      <c r="P54" s="46"/>
      <c r="Q54" s="46"/>
      <c r="R54" s="46"/>
      <c r="S54" s="46"/>
      <c r="T54" s="46"/>
    </row>
    <row r="55" spans="3:20" x14ac:dyDescent="0.25">
      <c r="D55" s="46">
        <v>23</v>
      </c>
      <c r="E55" s="46"/>
      <c r="F55" s="46"/>
      <c r="G55" s="46"/>
      <c r="H55" s="46"/>
      <c r="I55" s="46"/>
      <c r="J55" s="46"/>
      <c r="K55" s="46"/>
      <c r="L55" s="46"/>
      <c r="M55" s="46"/>
      <c r="N55" s="46"/>
      <c r="O55" s="46"/>
      <c r="P55" s="46"/>
      <c r="Q55" s="46"/>
      <c r="R55" s="46"/>
      <c r="S55" s="46"/>
      <c r="T55" s="46"/>
    </row>
    <row r="56" spans="3:20" x14ac:dyDescent="0.25">
      <c r="D56" s="46">
        <v>24</v>
      </c>
      <c r="E56" s="46"/>
      <c r="F56" s="46"/>
      <c r="G56" s="46"/>
      <c r="H56" s="46"/>
      <c r="I56" s="46"/>
      <c r="J56" s="46"/>
      <c r="K56" s="46"/>
      <c r="L56" s="46"/>
      <c r="M56" s="46"/>
      <c r="N56" s="46"/>
      <c r="O56" s="46"/>
      <c r="P56" s="46"/>
      <c r="Q56" s="46"/>
      <c r="R56" s="46"/>
      <c r="S56" s="46"/>
      <c r="T56" s="46"/>
    </row>
    <row r="57" spans="3:20" x14ac:dyDescent="0.25">
      <c r="D57" s="46">
        <v>25</v>
      </c>
      <c r="E57" s="46"/>
      <c r="F57" s="46"/>
      <c r="G57" s="46"/>
      <c r="H57" s="46"/>
      <c r="I57" s="46"/>
      <c r="J57" s="46"/>
      <c r="K57" s="46"/>
      <c r="L57" s="46"/>
      <c r="M57" s="46"/>
      <c r="N57" s="46"/>
      <c r="O57" s="46"/>
      <c r="P57" s="46"/>
      <c r="Q57" s="46"/>
      <c r="R57" s="46"/>
      <c r="S57" s="46"/>
      <c r="T57" s="46"/>
    </row>
    <row r="58" spans="3:20" x14ac:dyDescent="0.25">
      <c r="D58" s="46">
        <v>26</v>
      </c>
      <c r="E58" s="46"/>
      <c r="F58" s="46"/>
      <c r="G58" s="46"/>
      <c r="H58" s="46"/>
      <c r="I58" s="46"/>
      <c r="J58" s="46"/>
      <c r="K58" s="46"/>
      <c r="L58" s="46"/>
      <c r="M58" s="46"/>
      <c r="N58" s="46"/>
      <c r="O58" s="46"/>
      <c r="P58" s="46"/>
      <c r="Q58" s="46"/>
      <c r="R58" s="46"/>
      <c r="S58" s="46"/>
      <c r="T58" s="46"/>
    </row>
    <row r="59" spans="3:20" x14ac:dyDescent="0.25">
      <c r="D59" s="46">
        <v>27</v>
      </c>
      <c r="E59" s="46"/>
      <c r="F59" s="46"/>
      <c r="G59" s="46"/>
      <c r="H59" s="46"/>
      <c r="I59" s="46"/>
      <c r="J59" s="46"/>
      <c r="K59" s="46"/>
      <c r="L59" s="46"/>
      <c r="M59" s="46"/>
      <c r="N59" s="46"/>
      <c r="O59" s="46"/>
      <c r="P59" s="46"/>
      <c r="Q59" s="46"/>
      <c r="R59" s="46"/>
      <c r="S59" s="46"/>
      <c r="T59" s="46"/>
    </row>
    <row r="60" spans="3:20" x14ac:dyDescent="0.25">
      <c r="D60" s="46">
        <v>28</v>
      </c>
      <c r="E60" s="46"/>
      <c r="F60" s="46"/>
      <c r="G60" s="46"/>
      <c r="H60" s="46"/>
      <c r="I60" s="46"/>
      <c r="J60" s="46"/>
      <c r="K60" s="46"/>
      <c r="L60" s="46"/>
      <c r="M60" s="46"/>
      <c r="N60" s="46"/>
      <c r="O60" s="46"/>
      <c r="P60" s="46"/>
      <c r="Q60" s="46"/>
      <c r="R60" s="46"/>
      <c r="S60" s="46"/>
      <c r="T60" s="46"/>
    </row>
    <row r="61" spans="3:20" x14ac:dyDescent="0.25">
      <c r="D61" s="46">
        <v>29</v>
      </c>
      <c r="E61" s="46"/>
      <c r="F61" s="46"/>
      <c r="G61" s="46"/>
      <c r="H61" s="46"/>
      <c r="I61" s="46"/>
      <c r="J61" s="46"/>
      <c r="K61" s="46"/>
      <c r="L61" s="46"/>
      <c r="M61" s="46"/>
      <c r="N61" s="46"/>
      <c r="O61" s="46"/>
      <c r="P61" s="46"/>
      <c r="Q61" s="46"/>
      <c r="R61" s="46"/>
      <c r="S61" s="46"/>
      <c r="T61" s="46"/>
    </row>
    <row r="62" spans="3:20" x14ac:dyDescent="0.25">
      <c r="D62" s="46">
        <v>30</v>
      </c>
      <c r="E62" s="46"/>
      <c r="F62" s="46"/>
      <c r="G62" s="46"/>
      <c r="H62" s="46"/>
      <c r="I62" s="46"/>
      <c r="J62" s="46"/>
      <c r="K62" s="46"/>
      <c r="L62" s="46"/>
      <c r="M62" s="46"/>
      <c r="N62" s="46"/>
      <c r="O62" s="46"/>
      <c r="P62" s="46"/>
      <c r="Q62" s="46"/>
      <c r="R62" s="46"/>
      <c r="S62" s="46"/>
      <c r="T62" s="46"/>
    </row>
    <row r="63" spans="3:20" x14ac:dyDescent="0.25">
      <c r="D63" s="46">
        <v>31</v>
      </c>
      <c r="E63" s="266"/>
      <c r="F63" s="266"/>
      <c r="G63" s="64"/>
      <c r="H63" s="64"/>
      <c r="I63" s="64"/>
      <c r="J63" s="64"/>
      <c r="K63" s="64"/>
      <c r="L63" s="167"/>
      <c r="M63" s="64"/>
    </row>
    <row r="64" spans="3:20" x14ac:dyDescent="0.25">
      <c r="D64" s="46">
        <v>32</v>
      </c>
      <c r="E64" s="266"/>
      <c r="F64" s="266"/>
      <c r="G64" s="64"/>
      <c r="H64" s="64"/>
      <c r="I64" s="64"/>
      <c r="J64" s="64"/>
      <c r="K64" s="64"/>
      <c r="L64" s="167"/>
      <c r="M64" s="64"/>
    </row>
    <row r="65" spans="3:13" x14ac:dyDescent="0.25">
      <c r="D65" s="46">
        <v>33</v>
      </c>
      <c r="E65" s="266"/>
      <c r="F65" s="266"/>
      <c r="G65" s="64"/>
      <c r="H65" s="64"/>
      <c r="I65" s="64"/>
      <c r="J65" s="64"/>
      <c r="K65" s="64"/>
      <c r="L65" s="167"/>
      <c r="M65" s="64"/>
    </row>
    <row r="66" spans="3:13" x14ac:dyDescent="0.25">
      <c r="D66" s="46">
        <v>34</v>
      </c>
      <c r="E66" s="266"/>
      <c r="F66" s="266"/>
      <c r="G66" s="64"/>
      <c r="H66" s="64"/>
      <c r="I66" s="64"/>
      <c r="J66" s="64"/>
      <c r="K66" s="64"/>
      <c r="L66" s="167"/>
      <c r="M66" s="64"/>
    </row>
    <row r="67" spans="3:13" x14ac:dyDescent="0.25">
      <c r="D67" s="46">
        <v>35</v>
      </c>
      <c r="E67" s="266"/>
      <c r="F67" s="266"/>
      <c r="G67" s="64"/>
      <c r="H67" s="64"/>
      <c r="I67" s="64"/>
      <c r="J67" s="64"/>
      <c r="K67" s="64"/>
      <c r="L67" s="167"/>
      <c r="M67" s="64"/>
    </row>
    <row r="68" spans="3:13" x14ac:dyDescent="0.25">
      <c r="D68" s="46">
        <v>36</v>
      </c>
      <c r="E68" s="266"/>
      <c r="F68" s="266"/>
      <c r="G68" s="64"/>
      <c r="H68" s="64"/>
      <c r="I68" s="64"/>
      <c r="J68" s="64"/>
      <c r="K68" s="64"/>
      <c r="L68" s="167"/>
      <c r="M68" s="64"/>
    </row>
    <row r="69" spans="3:13" x14ac:dyDescent="0.25">
      <c r="D69" s="46">
        <v>37</v>
      </c>
      <c r="E69" s="266"/>
      <c r="F69" s="266"/>
      <c r="G69" s="64"/>
      <c r="H69" s="64"/>
      <c r="I69" s="64"/>
      <c r="J69" s="64"/>
      <c r="K69" s="64"/>
      <c r="L69" s="167"/>
      <c r="M69" s="64"/>
    </row>
    <row r="70" spans="3:13" x14ac:dyDescent="0.25">
      <c r="D70" s="46">
        <v>38</v>
      </c>
      <c r="E70" s="266"/>
      <c r="F70" s="266"/>
      <c r="G70" s="64"/>
      <c r="H70" s="64"/>
      <c r="I70" s="64"/>
      <c r="J70" s="64"/>
      <c r="K70" s="64"/>
      <c r="L70" s="167"/>
      <c r="M70" s="64"/>
    </row>
    <row r="71" spans="3:13" x14ac:dyDescent="0.25">
      <c r="D71" s="46">
        <v>39</v>
      </c>
      <c r="E71" s="266"/>
      <c r="F71" s="266"/>
      <c r="G71" s="64"/>
      <c r="H71" s="64"/>
      <c r="I71" s="64"/>
      <c r="J71" s="64"/>
      <c r="K71" s="64"/>
      <c r="L71" s="167"/>
      <c r="M71" s="64"/>
    </row>
    <row r="72" spans="3:13" x14ac:dyDescent="0.25">
      <c r="D72" s="46">
        <v>40</v>
      </c>
      <c r="E72" s="266"/>
      <c r="F72" s="266"/>
      <c r="G72" s="64"/>
      <c r="H72" s="64"/>
      <c r="I72" s="64"/>
      <c r="J72" s="64"/>
      <c r="K72" s="64"/>
      <c r="L72" s="167"/>
      <c r="M72" s="64"/>
    </row>
    <row r="73" spans="3:13" x14ac:dyDescent="0.25">
      <c r="D73" s="46">
        <v>41</v>
      </c>
      <c r="E73" s="266"/>
      <c r="F73" s="266"/>
      <c r="G73" s="64"/>
      <c r="H73" s="64"/>
      <c r="I73" s="64"/>
      <c r="J73" s="64"/>
      <c r="K73" s="64"/>
      <c r="L73" s="167"/>
      <c r="M73" s="64"/>
    </row>
    <row r="74" spans="3:13" x14ac:dyDescent="0.25">
      <c r="D74" s="46">
        <v>42</v>
      </c>
      <c r="E74" s="266"/>
      <c r="F74" s="266"/>
      <c r="G74" s="64"/>
      <c r="H74" s="64"/>
      <c r="I74" s="64"/>
      <c r="J74" s="64"/>
      <c r="K74" s="64"/>
      <c r="L74" s="167"/>
      <c r="M74" s="64"/>
    </row>
    <row r="75" spans="3:13" x14ac:dyDescent="0.25">
      <c r="D75" s="46">
        <v>43</v>
      </c>
      <c r="E75" s="266"/>
      <c r="F75" s="266"/>
      <c r="G75" s="64"/>
      <c r="H75" s="64"/>
      <c r="I75" s="64"/>
      <c r="J75" s="64"/>
      <c r="K75" s="64"/>
      <c r="L75" s="167"/>
      <c r="M75" s="64"/>
    </row>
    <row r="76" spans="3:13" x14ac:dyDescent="0.25">
      <c r="D76" s="46">
        <v>44</v>
      </c>
      <c r="E76" s="266"/>
      <c r="F76" s="266"/>
      <c r="G76" s="64"/>
      <c r="H76" s="64"/>
      <c r="I76" s="64"/>
      <c r="J76" s="64"/>
      <c r="K76" s="64"/>
      <c r="L76" s="167"/>
      <c r="M76" s="64"/>
    </row>
    <row r="77" spans="3:13" x14ac:dyDescent="0.25">
      <c r="C77" s="45"/>
      <c r="D77" s="46">
        <v>45</v>
      </c>
      <c r="E77" s="266"/>
      <c r="F77" s="266"/>
      <c r="G77" s="64"/>
      <c r="H77" s="64"/>
      <c r="I77" s="64"/>
      <c r="J77" s="64"/>
      <c r="K77" s="64"/>
      <c r="L77" s="167"/>
      <c r="M77" s="64"/>
    </row>
    <row r="78" spans="3:13" x14ac:dyDescent="0.25">
      <c r="C78" s="45"/>
      <c r="D78" s="46">
        <v>46</v>
      </c>
      <c r="E78" s="266"/>
      <c r="F78" s="266"/>
      <c r="G78" s="64"/>
      <c r="H78" s="64"/>
      <c r="I78" s="64"/>
      <c r="J78" s="64"/>
      <c r="K78" s="64"/>
      <c r="L78" s="167"/>
      <c r="M78" s="64"/>
    </row>
    <row r="79" spans="3:13" x14ac:dyDescent="0.25">
      <c r="C79" s="45"/>
      <c r="D79" s="46">
        <v>47</v>
      </c>
      <c r="E79" s="266"/>
      <c r="F79" s="266"/>
      <c r="G79" s="64"/>
      <c r="H79" s="64"/>
      <c r="I79" s="64"/>
      <c r="J79" s="64"/>
      <c r="K79" s="64"/>
      <c r="L79" s="167"/>
      <c r="M79" s="64"/>
    </row>
    <row r="80" spans="3:13" x14ac:dyDescent="0.25">
      <c r="C80" s="45"/>
      <c r="D80" s="46">
        <v>48</v>
      </c>
      <c r="E80" s="266"/>
      <c r="F80" s="266"/>
      <c r="G80" s="64"/>
      <c r="H80" s="64"/>
      <c r="I80" s="64"/>
      <c r="J80" s="64"/>
      <c r="K80" s="64"/>
      <c r="L80" s="167"/>
      <c r="M80" s="64"/>
    </row>
    <row r="81" spans="3:13" x14ac:dyDescent="0.25">
      <c r="C81" s="45"/>
      <c r="D81" s="46">
        <v>49</v>
      </c>
      <c r="E81" s="266"/>
      <c r="F81" s="266"/>
      <c r="G81" s="64"/>
      <c r="H81" s="64"/>
      <c r="I81" s="64"/>
      <c r="J81" s="64"/>
      <c r="K81" s="64"/>
      <c r="L81" s="167"/>
      <c r="M81" s="64"/>
    </row>
    <row r="82" spans="3:13" x14ac:dyDescent="0.25">
      <c r="C82" s="45"/>
      <c r="D82" s="46">
        <v>50</v>
      </c>
      <c r="E82" s="266"/>
      <c r="F82" s="266"/>
      <c r="G82" s="64"/>
      <c r="H82" s="64"/>
      <c r="I82" s="64"/>
      <c r="J82" s="64"/>
      <c r="K82" s="64"/>
      <c r="L82" s="167"/>
      <c r="M82" s="64"/>
    </row>
    <row r="83" spans="3:13" x14ac:dyDescent="0.25">
      <c r="C83" s="45"/>
      <c r="D83" s="46">
        <v>51</v>
      </c>
      <c r="E83" s="266"/>
      <c r="F83" s="266"/>
      <c r="G83" s="64"/>
      <c r="H83" s="64"/>
      <c r="I83" s="64"/>
      <c r="J83" s="64"/>
      <c r="K83" s="64"/>
      <c r="L83" s="167"/>
      <c r="M83" s="64"/>
    </row>
    <row r="84" spans="3:13" x14ac:dyDescent="0.25">
      <c r="C84" s="45"/>
      <c r="D84" s="46">
        <v>52</v>
      </c>
      <c r="E84" s="266"/>
      <c r="F84" s="266"/>
      <c r="G84" s="64"/>
      <c r="H84" s="64"/>
      <c r="I84" s="64"/>
      <c r="J84" s="64"/>
      <c r="K84" s="64"/>
      <c r="L84" s="167"/>
      <c r="M84" s="64"/>
    </row>
    <row r="85" spans="3:13" x14ac:dyDescent="0.25">
      <c r="C85" s="45"/>
      <c r="D85" s="46">
        <v>53</v>
      </c>
      <c r="E85" s="266"/>
      <c r="F85" s="266"/>
      <c r="G85" s="64"/>
      <c r="H85" s="64"/>
      <c r="I85" s="64"/>
      <c r="J85" s="64"/>
      <c r="K85" s="64"/>
      <c r="L85" s="167"/>
      <c r="M85" s="64"/>
    </row>
    <row r="86" spans="3:13" x14ac:dyDescent="0.25">
      <c r="C86" s="45"/>
      <c r="D86" s="46">
        <v>54</v>
      </c>
      <c r="E86" s="266"/>
      <c r="F86" s="266"/>
      <c r="G86" s="64"/>
      <c r="H86" s="64"/>
      <c r="I86" s="64"/>
      <c r="J86" s="64"/>
      <c r="K86" s="64"/>
      <c r="L86" s="167"/>
      <c r="M86" s="64"/>
    </row>
    <row r="87" spans="3:13" x14ac:dyDescent="0.25">
      <c r="C87" s="45"/>
      <c r="D87" s="46">
        <v>55</v>
      </c>
      <c r="E87" s="266"/>
      <c r="F87" s="266"/>
      <c r="G87" s="64"/>
      <c r="H87" s="64"/>
      <c r="I87" s="64"/>
      <c r="J87" s="64"/>
      <c r="K87" s="64"/>
      <c r="L87" s="167"/>
      <c r="M87" s="64"/>
    </row>
    <row r="88" spans="3:13" x14ac:dyDescent="0.25">
      <c r="C88" s="45"/>
      <c r="D88" s="46">
        <v>56</v>
      </c>
      <c r="E88" s="266"/>
      <c r="F88" s="266"/>
      <c r="G88" s="64"/>
      <c r="H88" s="64"/>
      <c r="I88" s="64"/>
      <c r="J88" s="64"/>
      <c r="K88" s="64"/>
      <c r="L88" s="167"/>
      <c r="M88" s="64"/>
    </row>
    <row r="89" spans="3:13" x14ac:dyDescent="0.25">
      <c r="C89" s="45"/>
      <c r="D89" s="46">
        <v>57</v>
      </c>
      <c r="E89" s="266"/>
      <c r="F89" s="266"/>
      <c r="G89" s="64"/>
      <c r="H89" s="64"/>
      <c r="I89" s="64"/>
      <c r="J89" s="64"/>
      <c r="K89" s="64"/>
      <c r="L89" s="167"/>
      <c r="M89" s="64"/>
    </row>
    <row r="90" spans="3:13" x14ac:dyDescent="0.25">
      <c r="C90" s="45"/>
      <c r="D90" s="46">
        <v>58</v>
      </c>
      <c r="E90" s="266"/>
      <c r="F90" s="266"/>
      <c r="G90" s="64"/>
      <c r="H90" s="64"/>
      <c r="I90" s="64"/>
      <c r="J90" s="64"/>
      <c r="K90" s="64"/>
      <c r="L90" s="167"/>
      <c r="M90" s="64"/>
    </row>
    <row r="91" spans="3:13" x14ac:dyDescent="0.25">
      <c r="C91" s="45"/>
      <c r="D91" s="46">
        <v>59</v>
      </c>
      <c r="E91" s="266"/>
      <c r="F91" s="266"/>
      <c r="G91" s="64"/>
      <c r="H91" s="64"/>
      <c r="I91" s="64"/>
      <c r="J91" s="64"/>
      <c r="K91" s="64"/>
      <c r="L91" s="167"/>
      <c r="M91" s="64"/>
    </row>
    <row r="92" spans="3:13" x14ac:dyDescent="0.25">
      <c r="C92" s="45"/>
      <c r="D92" s="46">
        <v>60</v>
      </c>
      <c r="E92" s="266"/>
      <c r="F92" s="266"/>
      <c r="G92" s="64"/>
      <c r="H92" s="64"/>
      <c r="I92" s="64"/>
      <c r="J92" s="64"/>
      <c r="K92" s="64"/>
      <c r="L92" s="167"/>
      <c r="M92" s="64"/>
    </row>
    <row r="93" spans="3:13" x14ac:dyDescent="0.25">
      <c r="D93" s="46">
        <v>61</v>
      </c>
      <c r="E93" s="266"/>
      <c r="F93" s="266"/>
      <c r="G93" s="64"/>
      <c r="H93" s="64"/>
      <c r="I93" s="64"/>
      <c r="J93" s="64"/>
      <c r="K93" s="64"/>
      <c r="L93" s="167"/>
      <c r="M93" s="64"/>
    </row>
    <row r="94" spans="3:13" x14ac:dyDescent="0.25">
      <c r="D94" s="46">
        <v>62</v>
      </c>
      <c r="E94" s="266"/>
      <c r="F94" s="266"/>
      <c r="G94" s="64"/>
      <c r="H94" s="64"/>
      <c r="I94" s="64"/>
      <c r="J94" s="64"/>
      <c r="K94" s="64"/>
      <c r="L94" s="167"/>
      <c r="M94" s="64"/>
    </row>
    <row r="95" spans="3:13" x14ac:dyDescent="0.25">
      <c r="D95" s="46">
        <v>63</v>
      </c>
      <c r="E95" s="266"/>
      <c r="F95" s="266"/>
      <c r="G95" s="64"/>
      <c r="H95" s="64"/>
      <c r="I95" s="64"/>
      <c r="J95" s="64"/>
      <c r="K95" s="64"/>
      <c r="L95" s="167"/>
      <c r="M95" s="64"/>
    </row>
    <row r="96" spans="3:13" x14ac:dyDescent="0.25">
      <c r="D96" s="46">
        <v>64</v>
      </c>
      <c r="E96" s="266"/>
      <c r="F96" s="266"/>
      <c r="G96" s="64"/>
      <c r="H96" s="64"/>
      <c r="I96" s="64"/>
      <c r="J96" s="64"/>
      <c r="K96" s="64"/>
      <c r="L96" s="167"/>
      <c r="M96" s="64"/>
    </row>
    <row r="97" spans="4:13" x14ac:dyDescent="0.25">
      <c r="D97" s="46">
        <v>65</v>
      </c>
      <c r="E97" s="266"/>
      <c r="F97" s="266"/>
      <c r="G97" s="64"/>
      <c r="H97" s="64"/>
      <c r="I97" s="64"/>
      <c r="J97" s="64"/>
      <c r="K97" s="64"/>
      <c r="L97" s="167"/>
      <c r="M97" s="64"/>
    </row>
    <row r="98" spans="4:13" x14ac:dyDescent="0.25">
      <c r="D98" s="46">
        <v>66</v>
      </c>
      <c r="E98" s="266"/>
      <c r="F98" s="266"/>
      <c r="G98" s="64"/>
      <c r="H98" s="64"/>
      <c r="I98" s="64"/>
      <c r="J98" s="64"/>
      <c r="K98" s="64"/>
      <c r="L98" s="167"/>
      <c r="M98" s="64"/>
    </row>
    <row r="99" spans="4:13" x14ac:dyDescent="0.25">
      <c r="D99" s="46">
        <v>67</v>
      </c>
      <c r="E99" s="266"/>
      <c r="F99" s="266"/>
      <c r="G99" s="64"/>
      <c r="H99" s="64"/>
      <c r="I99" s="64"/>
      <c r="J99" s="64"/>
      <c r="K99" s="64"/>
      <c r="L99" s="167"/>
      <c r="M99" s="64"/>
    </row>
    <row r="100" spans="4:13" x14ac:dyDescent="0.25">
      <c r="D100" s="46">
        <v>68</v>
      </c>
      <c r="E100" s="266"/>
      <c r="F100" s="266"/>
      <c r="G100" s="64"/>
      <c r="H100" s="64"/>
      <c r="I100" s="64"/>
      <c r="J100" s="64"/>
      <c r="K100" s="64"/>
      <c r="L100" s="167"/>
      <c r="M100" s="64"/>
    </row>
    <row r="101" spans="4:13" x14ac:dyDescent="0.25">
      <c r="D101" s="46">
        <v>69</v>
      </c>
      <c r="E101" s="266"/>
      <c r="F101" s="266"/>
      <c r="G101" s="64"/>
      <c r="H101" s="64"/>
      <c r="I101" s="64"/>
      <c r="J101" s="64"/>
      <c r="K101" s="64"/>
      <c r="L101" s="167"/>
      <c r="M101" s="64"/>
    </row>
    <row r="102" spans="4:13" x14ac:dyDescent="0.25">
      <c r="D102" s="46">
        <v>70</v>
      </c>
      <c r="E102" s="266"/>
      <c r="F102" s="266"/>
      <c r="G102" s="64"/>
      <c r="H102" s="64"/>
      <c r="I102" s="64"/>
      <c r="J102" s="64"/>
      <c r="K102" s="64"/>
      <c r="L102" s="167"/>
      <c r="M102" s="64"/>
    </row>
    <row r="103" spans="4:13" x14ac:dyDescent="0.25">
      <c r="D103" s="46">
        <v>71</v>
      </c>
      <c r="E103" s="266"/>
      <c r="F103" s="266"/>
      <c r="G103" s="64"/>
      <c r="H103" s="64"/>
      <c r="I103" s="64"/>
      <c r="J103" s="64"/>
      <c r="K103" s="64"/>
      <c r="L103" s="167"/>
      <c r="M103" s="64"/>
    </row>
    <row r="104" spans="4:13" x14ac:dyDescent="0.25">
      <c r="D104" s="46">
        <v>72</v>
      </c>
      <c r="E104" s="266"/>
      <c r="F104" s="266"/>
      <c r="G104" s="64"/>
      <c r="H104" s="64"/>
      <c r="I104" s="64"/>
      <c r="J104" s="64"/>
      <c r="K104" s="64"/>
      <c r="L104" s="167"/>
      <c r="M104" s="64"/>
    </row>
    <row r="105" spans="4:13" x14ac:dyDescent="0.25">
      <c r="D105" s="46">
        <v>73</v>
      </c>
      <c r="E105" s="266"/>
      <c r="F105" s="266"/>
      <c r="G105" s="64"/>
      <c r="H105" s="64"/>
      <c r="I105" s="64"/>
      <c r="J105" s="64"/>
      <c r="K105" s="64"/>
      <c r="L105" s="167"/>
      <c r="M105" s="64"/>
    </row>
    <row r="106" spans="4:13" x14ac:dyDescent="0.25">
      <c r="D106" s="46">
        <v>74</v>
      </c>
      <c r="E106" s="266"/>
      <c r="F106" s="266"/>
      <c r="G106" s="64"/>
      <c r="H106" s="64"/>
      <c r="I106" s="64"/>
      <c r="J106" s="64"/>
      <c r="K106" s="64"/>
      <c r="L106" s="167"/>
      <c r="M106" s="64"/>
    </row>
    <row r="107" spans="4:13" x14ac:dyDescent="0.25">
      <c r="D107" s="46">
        <v>75</v>
      </c>
      <c r="E107" s="266"/>
      <c r="F107" s="266"/>
      <c r="G107" s="64"/>
      <c r="H107" s="64"/>
      <c r="I107" s="64"/>
      <c r="J107" s="64"/>
      <c r="K107" s="64"/>
      <c r="L107" s="167"/>
      <c r="M107" s="64"/>
    </row>
    <row r="108" spans="4:13" x14ac:dyDescent="0.25">
      <c r="D108" s="46">
        <v>76</v>
      </c>
      <c r="E108" s="266"/>
      <c r="F108" s="266"/>
      <c r="G108" s="64"/>
      <c r="H108" s="64"/>
      <c r="I108" s="64"/>
      <c r="J108" s="64"/>
      <c r="K108" s="64"/>
      <c r="L108" s="167"/>
      <c r="M108" s="64"/>
    </row>
    <row r="109" spans="4:13" x14ac:dyDescent="0.25">
      <c r="D109" s="46">
        <v>77</v>
      </c>
      <c r="E109" s="266"/>
      <c r="F109" s="266"/>
      <c r="G109" s="64"/>
      <c r="H109" s="64"/>
      <c r="I109" s="64"/>
      <c r="J109" s="64"/>
      <c r="K109" s="64"/>
      <c r="L109" s="167"/>
      <c r="M109" s="64"/>
    </row>
    <row r="110" spans="4:13" x14ac:dyDescent="0.25">
      <c r="D110" s="46">
        <v>78</v>
      </c>
      <c r="E110" s="266"/>
      <c r="F110" s="266"/>
      <c r="G110" s="64"/>
      <c r="H110" s="64"/>
      <c r="I110" s="64"/>
      <c r="J110" s="64"/>
      <c r="K110" s="64"/>
      <c r="L110" s="167"/>
      <c r="M110" s="64"/>
    </row>
    <row r="111" spans="4:13" x14ac:dyDescent="0.25">
      <c r="D111" s="46">
        <v>79</v>
      </c>
      <c r="E111" s="266"/>
      <c r="F111" s="266"/>
      <c r="G111" s="64"/>
      <c r="H111" s="64"/>
      <c r="I111" s="64"/>
      <c r="J111" s="64"/>
      <c r="K111" s="64"/>
      <c r="L111" s="167"/>
      <c r="M111" s="64"/>
    </row>
    <row r="112" spans="4:13" x14ac:dyDescent="0.25">
      <c r="D112" s="46">
        <v>80</v>
      </c>
      <c r="E112" s="266"/>
      <c r="F112" s="266"/>
      <c r="G112" s="64"/>
      <c r="H112" s="64"/>
      <c r="I112" s="64"/>
      <c r="J112" s="64"/>
      <c r="K112" s="64"/>
      <c r="L112" s="167"/>
      <c r="M112" s="64"/>
    </row>
    <row r="113" spans="4:13" x14ac:dyDescent="0.25">
      <c r="D113" s="46">
        <v>81</v>
      </c>
      <c r="E113" s="266"/>
      <c r="F113" s="266"/>
      <c r="G113" s="64"/>
      <c r="H113" s="64"/>
      <c r="I113" s="64"/>
      <c r="J113" s="64"/>
      <c r="K113" s="64"/>
      <c r="L113" s="167"/>
      <c r="M113" s="64"/>
    </row>
    <row r="114" spans="4:13" x14ac:dyDescent="0.25">
      <c r="D114" s="46">
        <v>82</v>
      </c>
      <c r="E114" s="266"/>
      <c r="F114" s="266"/>
      <c r="G114" s="64"/>
      <c r="H114" s="64"/>
      <c r="I114" s="64"/>
      <c r="J114" s="64"/>
      <c r="K114" s="64"/>
      <c r="L114" s="167"/>
      <c r="M114" s="64"/>
    </row>
    <row r="115" spans="4:13" x14ac:dyDescent="0.25">
      <c r="D115" s="46">
        <v>83</v>
      </c>
      <c r="E115" s="266"/>
      <c r="F115" s="266"/>
      <c r="G115" s="64"/>
      <c r="H115" s="64"/>
      <c r="I115" s="64"/>
      <c r="J115" s="64"/>
      <c r="K115" s="64"/>
      <c r="L115" s="167"/>
      <c r="M115" s="64"/>
    </row>
    <row r="116" spans="4:13" x14ac:dyDescent="0.25">
      <c r="D116" s="46">
        <v>84</v>
      </c>
      <c r="E116" s="266"/>
      <c r="F116" s="266"/>
      <c r="G116" s="64"/>
      <c r="H116" s="64"/>
      <c r="I116" s="64"/>
      <c r="J116" s="64"/>
      <c r="K116" s="64"/>
      <c r="L116" s="167"/>
      <c r="M116" s="64"/>
    </row>
    <row r="117" spans="4:13" x14ac:dyDescent="0.25">
      <c r="D117" s="46">
        <v>85</v>
      </c>
      <c r="E117" s="266"/>
      <c r="F117" s="266"/>
      <c r="G117" s="64"/>
      <c r="H117" s="64"/>
      <c r="I117" s="64"/>
      <c r="J117" s="64"/>
      <c r="K117" s="64"/>
      <c r="L117" s="167"/>
      <c r="M117" s="64"/>
    </row>
    <row r="118" spans="4:13" x14ac:dyDescent="0.25">
      <c r="D118" s="46">
        <v>86</v>
      </c>
      <c r="E118" s="266"/>
      <c r="F118" s="266"/>
      <c r="G118" s="64"/>
      <c r="H118" s="64"/>
      <c r="I118" s="64"/>
      <c r="J118" s="64"/>
      <c r="K118" s="64"/>
      <c r="L118" s="167"/>
      <c r="M118" s="64"/>
    </row>
    <row r="119" spans="4:13" x14ac:dyDescent="0.25">
      <c r="D119" s="46">
        <v>87</v>
      </c>
      <c r="E119" s="266"/>
      <c r="F119" s="266"/>
      <c r="G119" s="64"/>
      <c r="H119" s="64"/>
      <c r="I119" s="64"/>
      <c r="J119" s="64"/>
      <c r="K119" s="64"/>
      <c r="L119" s="167"/>
      <c r="M119" s="64"/>
    </row>
    <row r="120" spans="4:13" x14ac:dyDescent="0.25">
      <c r="D120" s="46">
        <v>88</v>
      </c>
      <c r="E120" s="266"/>
      <c r="F120" s="266"/>
      <c r="G120" s="64"/>
      <c r="H120" s="64"/>
      <c r="I120" s="64"/>
      <c r="J120" s="64"/>
      <c r="K120" s="64"/>
      <c r="L120" s="167"/>
      <c r="M120" s="64"/>
    </row>
    <row r="121" spans="4:13" x14ac:dyDescent="0.25">
      <c r="D121" s="46">
        <v>89</v>
      </c>
      <c r="E121" s="266"/>
      <c r="F121" s="266"/>
      <c r="G121" s="64"/>
      <c r="H121" s="64"/>
      <c r="I121" s="64"/>
      <c r="J121" s="64"/>
      <c r="K121" s="64"/>
      <c r="L121" s="167"/>
      <c r="M121" s="64"/>
    </row>
    <row r="122" spans="4:13" x14ac:dyDescent="0.25">
      <c r="D122" s="46">
        <v>90</v>
      </c>
      <c r="E122" s="266"/>
      <c r="F122" s="266"/>
      <c r="G122" s="64"/>
      <c r="H122" s="64"/>
      <c r="I122" s="64"/>
      <c r="J122" s="64"/>
      <c r="K122" s="64"/>
      <c r="L122" s="167"/>
      <c r="M122" s="64"/>
    </row>
    <row r="123" spans="4:13" x14ac:dyDescent="0.25">
      <c r="D123" s="46">
        <v>91</v>
      </c>
      <c r="E123" s="266"/>
      <c r="F123" s="266"/>
      <c r="G123" s="64"/>
      <c r="H123" s="64"/>
      <c r="I123" s="64"/>
      <c r="J123" s="64"/>
      <c r="K123" s="64"/>
      <c r="L123" s="167"/>
      <c r="M123" s="64"/>
    </row>
    <row r="124" spans="4:13" x14ac:dyDescent="0.25">
      <c r="D124" s="46">
        <v>92</v>
      </c>
      <c r="E124" s="266"/>
      <c r="F124" s="266"/>
      <c r="G124" s="64"/>
      <c r="H124" s="64"/>
      <c r="I124" s="64"/>
      <c r="J124" s="64"/>
      <c r="K124" s="64"/>
      <c r="L124" s="167"/>
      <c r="M124" s="64"/>
    </row>
    <row r="125" spans="4:13" x14ac:dyDescent="0.25">
      <c r="D125" s="46">
        <v>93</v>
      </c>
      <c r="E125" s="266"/>
      <c r="F125" s="266"/>
      <c r="G125" s="64"/>
      <c r="H125" s="64"/>
      <c r="I125" s="64"/>
      <c r="J125" s="64"/>
      <c r="K125" s="64"/>
      <c r="L125" s="167"/>
      <c r="M125" s="64"/>
    </row>
    <row r="126" spans="4:13" x14ac:dyDescent="0.25">
      <c r="D126" s="46">
        <v>94</v>
      </c>
      <c r="E126" s="266"/>
      <c r="F126" s="266"/>
      <c r="G126" s="64"/>
      <c r="H126" s="64"/>
      <c r="I126" s="64"/>
      <c r="J126" s="64"/>
      <c r="K126" s="64"/>
      <c r="L126" s="167"/>
      <c r="M126" s="64"/>
    </row>
    <row r="127" spans="4:13" x14ac:dyDescent="0.25">
      <c r="D127" s="46">
        <v>95</v>
      </c>
      <c r="E127" s="266"/>
      <c r="F127" s="266"/>
      <c r="G127" s="64"/>
      <c r="H127" s="64"/>
      <c r="I127" s="64"/>
      <c r="J127" s="64"/>
      <c r="K127" s="64"/>
      <c r="L127" s="167"/>
      <c r="M127" s="64"/>
    </row>
    <row r="128" spans="4:13" x14ac:dyDescent="0.25">
      <c r="D128" s="46">
        <v>96</v>
      </c>
      <c r="E128" s="266"/>
      <c r="F128" s="266"/>
      <c r="G128" s="64"/>
      <c r="H128" s="64"/>
      <c r="I128" s="64"/>
      <c r="J128" s="64"/>
      <c r="K128" s="64"/>
      <c r="L128" s="167"/>
      <c r="M128" s="64"/>
    </row>
    <row r="129" spans="4:13" x14ac:dyDescent="0.25">
      <c r="D129" s="46">
        <v>97</v>
      </c>
      <c r="E129" s="266"/>
      <c r="F129" s="266"/>
      <c r="G129" s="64"/>
      <c r="H129" s="64"/>
      <c r="I129" s="64"/>
      <c r="J129" s="64"/>
      <c r="K129" s="64"/>
      <c r="L129" s="167"/>
      <c r="M129" s="64"/>
    </row>
    <row r="130" spans="4:13" x14ac:dyDescent="0.25">
      <c r="D130" s="46">
        <v>98</v>
      </c>
      <c r="E130" s="266"/>
      <c r="F130" s="266"/>
      <c r="G130" s="64"/>
      <c r="H130" s="64"/>
      <c r="I130" s="64"/>
      <c r="J130" s="64"/>
      <c r="K130" s="64"/>
      <c r="L130" s="167"/>
      <c r="M130" s="64"/>
    </row>
    <row r="131" spans="4:13" x14ac:dyDescent="0.25">
      <c r="D131" s="46">
        <v>99</v>
      </c>
      <c r="E131" s="266"/>
      <c r="F131" s="266"/>
      <c r="G131" s="64"/>
      <c r="H131" s="64"/>
      <c r="I131" s="64"/>
      <c r="J131" s="64"/>
      <c r="K131" s="64"/>
      <c r="L131" s="167"/>
      <c r="M131" s="64"/>
    </row>
    <row r="132" spans="4:13" x14ac:dyDescent="0.25">
      <c r="D132" s="46">
        <v>100</v>
      </c>
      <c r="E132" s="266"/>
      <c r="F132" s="266"/>
      <c r="G132" s="64"/>
      <c r="H132" s="64"/>
      <c r="I132" s="64"/>
      <c r="J132" s="64"/>
      <c r="K132" s="64"/>
      <c r="L132" s="167"/>
      <c r="M132" s="64"/>
    </row>
    <row r="133" spans="4:13" x14ac:dyDescent="0.25">
      <c r="D133" s="46">
        <v>101</v>
      </c>
      <c r="E133" s="266"/>
      <c r="F133" s="266"/>
      <c r="G133" s="64"/>
      <c r="H133" s="64"/>
      <c r="I133" s="64"/>
      <c r="J133" s="64"/>
      <c r="K133" s="64"/>
      <c r="L133" s="167"/>
      <c r="M133" s="64"/>
    </row>
    <row r="134" spans="4:13" x14ac:dyDescent="0.25">
      <c r="D134" s="46">
        <v>102</v>
      </c>
      <c r="E134" s="266"/>
      <c r="F134" s="266"/>
      <c r="G134" s="64"/>
      <c r="H134" s="64"/>
      <c r="I134" s="64"/>
      <c r="J134" s="64"/>
      <c r="K134" s="64"/>
      <c r="L134" s="167"/>
      <c r="M134" s="64"/>
    </row>
    <row r="135" spans="4:13" x14ac:dyDescent="0.25">
      <c r="D135" s="46">
        <v>103</v>
      </c>
      <c r="E135" s="266"/>
      <c r="F135" s="266"/>
      <c r="G135" s="64"/>
      <c r="H135" s="64"/>
      <c r="I135" s="64"/>
      <c r="J135" s="64"/>
      <c r="K135" s="64"/>
      <c r="L135" s="167"/>
      <c r="M135" s="64"/>
    </row>
    <row r="136" spans="4:13" x14ac:dyDescent="0.25">
      <c r="D136" s="46">
        <v>104</v>
      </c>
      <c r="E136" s="266"/>
      <c r="F136" s="266"/>
      <c r="G136" s="64"/>
      <c r="H136" s="64"/>
      <c r="I136" s="64"/>
      <c r="J136" s="64"/>
      <c r="K136" s="64"/>
      <c r="L136" s="167"/>
      <c r="M136" s="64"/>
    </row>
    <row r="137" spans="4:13" x14ac:dyDescent="0.25">
      <c r="D137" s="46">
        <v>105</v>
      </c>
      <c r="E137" s="266"/>
      <c r="F137" s="266"/>
      <c r="G137" s="64"/>
      <c r="H137" s="64"/>
      <c r="I137" s="64"/>
      <c r="J137" s="64"/>
      <c r="K137" s="64"/>
      <c r="L137" s="167"/>
      <c r="M137" s="64"/>
    </row>
    <row r="138" spans="4:13" x14ac:dyDescent="0.25">
      <c r="D138" s="46">
        <v>106</v>
      </c>
      <c r="E138" s="266"/>
      <c r="F138" s="266"/>
      <c r="G138" s="64"/>
      <c r="H138" s="64"/>
      <c r="I138" s="64"/>
      <c r="J138" s="64"/>
      <c r="K138" s="64"/>
      <c r="L138" s="167"/>
      <c r="M138" s="64"/>
    </row>
    <row r="139" spans="4:13" x14ac:dyDescent="0.25">
      <c r="D139" s="46">
        <v>107</v>
      </c>
      <c r="E139" s="266"/>
      <c r="F139" s="266"/>
      <c r="G139" s="64"/>
      <c r="H139" s="64"/>
      <c r="I139" s="64"/>
      <c r="J139" s="64"/>
      <c r="K139" s="64"/>
      <c r="L139" s="167"/>
      <c r="M139" s="64"/>
    </row>
    <row r="140" spans="4:13" x14ac:dyDescent="0.25">
      <c r="D140" s="46">
        <v>108</v>
      </c>
      <c r="E140" s="266"/>
      <c r="F140" s="266"/>
      <c r="G140" s="64"/>
      <c r="H140" s="64"/>
      <c r="I140" s="64"/>
      <c r="J140" s="64"/>
      <c r="K140" s="64"/>
      <c r="L140" s="167"/>
      <c r="M140" s="64"/>
    </row>
    <row r="141" spans="4:13" x14ac:dyDescent="0.25">
      <c r="D141" s="46">
        <v>109</v>
      </c>
      <c r="E141" s="266"/>
      <c r="F141" s="266"/>
      <c r="G141" s="64"/>
      <c r="H141" s="64"/>
      <c r="I141" s="64"/>
      <c r="J141" s="64"/>
      <c r="K141" s="64"/>
      <c r="L141" s="167"/>
      <c r="M141" s="64"/>
    </row>
    <row r="142" spans="4:13" x14ac:dyDescent="0.25">
      <c r="D142" s="46">
        <v>110</v>
      </c>
      <c r="E142" s="266"/>
      <c r="F142" s="266"/>
      <c r="G142" s="64"/>
      <c r="H142" s="64"/>
      <c r="I142" s="64"/>
      <c r="J142" s="64"/>
      <c r="K142" s="64"/>
      <c r="L142" s="167"/>
      <c r="M142" s="64"/>
    </row>
    <row r="143" spans="4:13" x14ac:dyDescent="0.25">
      <c r="D143" s="46">
        <v>111</v>
      </c>
      <c r="E143" s="266"/>
      <c r="F143" s="266"/>
      <c r="G143" s="64"/>
      <c r="H143" s="64"/>
      <c r="I143" s="64"/>
      <c r="J143" s="64"/>
      <c r="K143" s="64"/>
      <c r="L143" s="167"/>
      <c r="M143" s="64"/>
    </row>
    <row r="144" spans="4:13" x14ac:dyDescent="0.25">
      <c r="D144" s="46">
        <v>112</v>
      </c>
      <c r="E144" s="266"/>
      <c r="F144" s="266"/>
      <c r="G144" s="64"/>
      <c r="H144" s="64"/>
      <c r="I144" s="64"/>
      <c r="J144" s="64"/>
      <c r="K144" s="64"/>
      <c r="L144" s="167"/>
      <c r="M144" s="64"/>
    </row>
    <row r="145" spans="4:13" x14ac:dyDescent="0.25">
      <c r="D145" s="46">
        <v>113</v>
      </c>
      <c r="E145" s="266"/>
      <c r="F145" s="266"/>
      <c r="G145" s="64"/>
      <c r="H145" s="64"/>
      <c r="I145" s="64"/>
      <c r="J145" s="64"/>
      <c r="K145" s="64"/>
      <c r="L145" s="167"/>
      <c r="M145" s="64"/>
    </row>
    <row r="146" spans="4:13" x14ac:dyDescent="0.25">
      <c r="D146" s="46">
        <v>114</v>
      </c>
      <c r="E146" s="266"/>
      <c r="F146" s="266"/>
      <c r="G146" s="64"/>
      <c r="H146" s="64"/>
      <c r="I146" s="64"/>
      <c r="J146" s="64"/>
      <c r="K146" s="64"/>
      <c r="L146" s="167"/>
      <c r="M146" s="64"/>
    </row>
    <row r="147" spans="4:13" x14ac:dyDescent="0.25">
      <c r="D147" s="46">
        <v>115</v>
      </c>
      <c r="E147" s="266"/>
      <c r="F147" s="266"/>
      <c r="G147" s="64"/>
      <c r="H147" s="64"/>
      <c r="I147" s="64"/>
      <c r="J147" s="64"/>
      <c r="K147" s="64"/>
      <c r="L147" s="167"/>
      <c r="M147" s="64"/>
    </row>
    <row r="148" spans="4:13" x14ac:dyDescent="0.25">
      <c r="D148" s="46">
        <v>116</v>
      </c>
      <c r="E148" s="266"/>
      <c r="F148" s="266"/>
      <c r="G148" s="64"/>
      <c r="H148" s="64"/>
      <c r="I148" s="64"/>
      <c r="J148" s="64"/>
      <c r="K148" s="64"/>
      <c r="L148" s="167"/>
      <c r="M148" s="64"/>
    </row>
    <row r="149" spans="4:13" x14ac:dyDescent="0.25">
      <c r="D149" s="46">
        <v>117</v>
      </c>
      <c r="E149" s="266"/>
      <c r="F149" s="266"/>
      <c r="G149" s="64"/>
      <c r="H149" s="64"/>
      <c r="I149" s="64"/>
      <c r="J149" s="64"/>
      <c r="K149" s="64"/>
      <c r="L149" s="167"/>
      <c r="M149" s="64"/>
    </row>
    <row r="150" spans="4:13" x14ac:dyDescent="0.25">
      <c r="D150" s="46">
        <v>118</v>
      </c>
      <c r="E150" s="266"/>
      <c r="F150" s="266"/>
      <c r="G150" s="64"/>
      <c r="H150" s="64"/>
      <c r="I150" s="64"/>
      <c r="J150" s="64"/>
      <c r="K150" s="64"/>
      <c r="L150" s="167"/>
      <c r="M150" s="64"/>
    </row>
    <row r="151" spans="4:13" x14ac:dyDescent="0.25">
      <c r="D151" s="46">
        <v>119</v>
      </c>
      <c r="E151" s="266"/>
      <c r="F151" s="266"/>
      <c r="G151" s="64"/>
      <c r="H151" s="64"/>
      <c r="I151" s="64"/>
      <c r="J151" s="64"/>
      <c r="K151" s="64"/>
      <c r="L151" s="167"/>
      <c r="M151" s="64"/>
    </row>
    <row r="152" spans="4:13" x14ac:dyDescent="0.25">
      <c r="D152" s="46">
        <v>120</v>
      </c>
      <c r="E152" s="266"/>
      <c r="F152" s="266"/>
      <c r="G152" s="64"/>
      <c r="H152" s="64"/>
      <c r="I152" s="64"/>
      <c r="J152" s="64"/>
      <c r="K152" s="64"/>
      <c r="L152" s="167"/>
      <c r="M152" s="64"/>
    </row>
    <row r="153" spans="4:13" x14ac:dyDescent="0.25">
      <c r="D153" s="46">
        <v>121</v>
      </c>
      <c r="E153" s="266"/>
      <c r="F153" s="266"/>
      <c r="G153" s="64"/>
      <c r="H153" s="64"/>
      <c r="I153" s="64"/>
      <c r="J153" s="64"/>
      <c r="K153" s="64"/>
      <c r="L153" s="167"/>
      <c r="M153" s="64"/>
    </row>
    <row r="154" spans="4:13" x14ac:dyDescent="0.25">
      <c r="D154" s="46">
        <v>122</v>
      </c>
      <c r="E154" s="266"/>
      <c r="F154" s="266"/>
      <c r="G154" s="64"/>
      <c r="H154" s="64"/>
      <c r="I154" s="64"/>
      <c r="J154" s="64"/>
      <c r="K154" s="64"/>
      <c r="L154" s="167"/>
      <c r="M154" s="64"/>
    </row>
    <row r="155" spans="4:13" x14ac:dyDescent="0.25">
      <c r="D155" s="46">
        <v>123</v>
      </c>
      <c r="E155" s="266"/>
      <c r="F155" s="266"/>
      <c r="G155" s="64"/>
      <c r="H155" s="64"/>
      <c r="I155" s="64"/>
      <c r="J155" s="64"/>
      <c r="K155" s="64"/>
      <c r="L155" s="167"/>
      <c r="M155" s="64"/>
    </row>
    <row r="156" spans="4:13" x14ac:dyDescent="0.25">
      <c r="D156" s="46">
        <v>124</v>
      </c>
      <c r="E156" s="266"/>
      <c r="F156" s="266"/>
      <c r="G156" s="64"/>
      <c r="H156" s="64"/>
      <c r="I156" s="64"/>
      <c r="J156" s="64"/>
      <c r="K156" s="64"/>
      <c r="L156" s="167"/>
      <c r="M156" s="64"/>
    </row>
    <row r="157" spans="4:13" x14ac:dyDescent="0.25">
      <c r="D157" s="46">
        <v>125</v>
      </c>
      <c r="E157" s="266"/>
      <c r="F157" s="266"/>
      <c r="G157" s="64"/>
      <c r="H157" s="64"/>
      <c r="I157" s="64"/>
      <c r="J157" s="64"/>
      <c r="K157" s="64"/>
      <c r="L157" s="167"/>
      <c r="M157" s="64"/>
    </row>
    <row r="158" spans="4:13" x14ac:dyDescent="0.25">
      <c r="D158" s="46">
        <v>126</v>
      </c>
      <c r="E158" s="266"/>
      <c r="F158" s="266"/>
      <c r="G158" s="64"/>
      <c r="H158" s="64"/>
      <c r="I158" s="64"/>
      <c r="J158" s="64"/>
      <c r="K158" s="64"/>
      <c r="L158" s="167"/>
      <c r="M158" s="64"/>
    </row>
    <row r="159" spans="4:13" x14ac:dyDescent="0.25">
      <c r="D159" s="46">
        <v>127</v>
      </c>
      <c r="E159" s="266"/>
      <c r="F159" s="266"/>
      <c r="G159" s="64"/>
      <c r="H159" s="64"/>
      <c r="I159" s="64"/>
      <c r="J159" s="64"/>
      <c r="K159" s="64"/>
      <c r="L159" s="167"/>
      <c r="M159" s="64"/>
    </row>
    <row r="160" spans="4:13" x14ac:dyDescent="0.25">
      <c r="D160" s="46">
        <v>128</v>
      </c>
      <c r="E160" s="266"/>
      <c r="F160" s="266"/>
      <c r="G160" s="64"/>
      <c r="H160" s="64"/>
      <c r="I160" s="64"/>
      <c r="J160" s="64"/>
      <c r="K160" s="64"/>
      <c r="L160" s="167"/>
      <c r="M160" s="64"/>
    </row>
    <row r="161" spans="4:13" x14ac:dyDescent="0.25">
      <c r="D161" s="46">
        <v>129</v>
      </c>
      <c r="E161" s="266"/>
      <c r="F161" s="266"/>
      <c r="G161" s="64"/>
      <c r="H161" s="64"/>
      <c r="I161" s="64"/>
      <c r="J161" s="64"/>
      <c r="K161" s="64"/>
      <c r="L161" s="167"/>
      <c r="M161" s="64"/>
    </row>
    <row r="162" spans="4:13" x14ac:dyDescent="0.25">
      <c r="D162" s="46">
        <v>130</v>
      </c>
      <c r="E162" s="266"/>
      <c r="F162" s="266"/>
      <c r="G162" s="64"/>
      <c r="H162" s="64"/>
      <c r="I162" s="64"/>
      <c r="J162" s="64"/>
      <c r="K162" s="64"/>
      <c r="L162" s="167"/>
      <c r="M162" s="64"/>
    </row>
    <row r="163" spans="4:13" x14ac:dyDescent="0.25">
      <c r="D163" s="46">
        <v>131</v>
      </c>
      <c r="E163" s="266"/>
      <c r="F163" s="266"/>
      <c r="G163" s="64"/>
      <c r="H163" s="64"/>
      <c r="I163" s="64"/>
      <c r="J163" s="64"/>
      <c r="K163" s="64"/>
      <c r="L163" s="167"/>
      <c r="M163" s="64"/>
    </row>
    <row r="164" spans="4:13" x14ac:dyDescent="0.25">
      <c r="D164" s="46">
        <v>132</v>
      </c>
      <c r="E164" s="266"/>
      <c r="F164" s="266"/>
      <c r="G164" s="64"/>
      <c r="H164" s="64"/>
      <c r="I164" s="64"/>
      <c r="J164" s="64"/>
      <c r="K164" s="64"/>
      <c r="L164" s="167"/>
      <c r="M164" s="64"/>
    </row>
    <row r="165" spans="4:13" x14ac:dyDescent="0.25">
      <c r="D165" s="46">
        <v>133</v>
      </c>
      <c r="E165" s="266"/>
      <c r="F165" s="266"/>
      <c r="G165" s="64"/>
      <c r="H165" s="64"/>
      <c r="I165" s="64"/>
      <c r="J165" s="64"/>
      <c r="K165" s="64"/>
      <c r="L165" s="167"/>
      <c r="M165" s="64"/>
    </row>
    <row r="166" spans="4:13" x14ac:dyDescent="0.25">
      <c r="D166" s="46">
        <v>134</v>
      </c>
      <c r="E166" s="266"/>
      <c r="F166" s="266"/>
      <c r="G166" s="64"/>
      <c r="H166" s="64"/>
      <c r="I166" s="64"/>
      <c r="J166" s="64"/>
      <c r="K166" s="64"/>
      <c r="L166" s="167"/>
      <c r="M166" s="64"/>
    </row>
    <row r="167" spans="4:13" x14ac:dyDescent="0.25">
      <c r="D167" s="46">
        <v>135</v>
      </c>
      <c r="E167" s="266"/>
      <c r="F167" s="266"/>
      <c r="G167" s="64"/>
      <c r="H167" s="64"/>
      <c r="I167" s="64"/>
      <c r="J167" s="64"/>
      <c r="K167" s="64"/>
      <c r="L167" s="167"/>
      <c r="M167" s="64"/>
    </row>
    <row r="168" spans="4:13" x14ac:dyDescent="0.25">
      <c r="D168" s="46">
        <v>136</v>
      </c>
      <c r="E168" s="266"/>
      <c r="F168" s="266"/>
      <c r="G168" s="64"/>
      <c r="H168" s="64"/>
      <c r="I168" s="64"/>
      <c r="J168" s="64"/>
      <c r="K168" s="64"/>
      <c r="L168" s="167"/>
      <c r="M168" s="64"/>
    </row>
    <row r="169" spans="4:13" x14ac:dyDescent="0.25">
      <c r="D169" s="46">
        <v>137</v>
      </c>
      <c r="E169" s="266"/>
      <c r="F169" s="266"/>
      <c r="G169" s="64"/>
      <c r="H169" s="64"/>
      <c r="I169" s="64"/>
      <c r="J169" s="64"/>
      <c r="K169" s="64"/>
      <c r="L169" s="167"/>
      <c r="M169" s="64"/>
    </row>
    <row r="170" spans="4:13" x14ac:dyDescent="0.25">
      <c r="D170" s="46">
        <v>138</v>
      </c>
      <c r="E170" s="266"/>
      <c r="F170" s="266"/>
      <c r="G170" s="64"/>
      <c r="H170" s="64"/>
      <c r="I170" s="64"/>
      <c r="J170" s="64"/>
      <c r="K170" s="64"/>
      <c r="L170" s="167"/>
      <c r="M170" s="64"/>
    </row>
    <row r="171" spans="4:13" x14ac:dyDescent="0.25">
      <c r="D171" s="46">
        <v>139</v>
      </c>
      <c r="E171" s="266"/>
      <c r="F171" s="266"/>
      <c r="G171" s="64"/>
      <c r="H171" s="64"/>
      <c r="I171" s="64"/>
      <c r="J171" s="64"/>
      <c r="K171" s="64"/>
      <c r="L171" s="167"/>
      <c r="M171" s="64"/>
    </row>
    <row r="172" spans="4:13" x14ac:dyDescent="0.25">
      <c r="D172" s="46">
        <v>140</v>
      </c>
      <c r="E172" s="266"/>
      <c r="F172" s="266"/>
      <c r="G172" s="64"/>
      <c r="H172" s="64"/>
      <c r="I172" s="64"/>
      <c r="J172" s="64"/>
      <c r="K172" s="64"/>
      <c r="L172" s="167"/>
      <c r="M172" s="64"/>
    </row>
    <row r="173" spans="4:13" x14ac:dyDescent="0.25">
      <c r="D173" s="46">
        <v>141</v>
      </c>
      <c r="E173" s="266"/>
      <c r="F173" s="266"/>
      <c r="G173" s="64"/>
      <c r="H173" s="64"/>
      <c r="I173" s="64"/>
      <c r="J173" s="64"/>
      <c r="K173" s="64"/>
      <c r="L173" s="167"/>
      <c r="M173" s="64"/>
    </row>
    <row r="174" spans="4:13" x14ac:dyDescent="0.25">
      <c r="D174" s="46">
        <v>142</v>
      </c>
      <c r="E174" s="266"/>
      <c r="F174" s="266"/>
      <c r="G174" s="64"/>
      <c r="H174" s="64"/>
      <c r="I174" s="64"/>
      <c r="J174" s="64"/>
      <c r="K174" s="64"/>
      <c r="L174" s="167"/>
      <c r="M174" s="64"/>
    </row>
    <row r="175" spans="4:13" x14ac:dyDescent="0.25">
      <c r="D175" s="46">
        <v>143</v>
      </c>
      <c r="E175" s="266"/>
      <c r="F175" s="266"/>
      <c r="G175" s="64"/>
      <c r="H175" s="64"/>
      <c r="I175" s="64"/>
      <c r="J175" s="64"/>
      <c r="K175" s="64"/>
      <c r="L175" s="167"/>
      <c r="M175" s="64"/>
    </row>
    <row r="176" spans="4:13" x14ac:dyDescent="0.25">
      <c r="D176" s="46">
        <v>144</v>
      </c>
      <c r="E176" s="266"/>
      <c r="F176" s="266"/>
      <c r="G176" s="64"/>
      <c r="H176" s="64"/>
      <c r="I176" s="64"/>
      <c r="J176" s="64"/>
      <c r="K176" s="64"/>
      <c r="L176" s="167"/>
      <c r="M176" s="64"/>
    </row>
    <row r="177" spans="4:13" x14ac:dyDescent="0.25">
      <c r="D177" s="46">
        <v>145</v>
      </c>
      <c r="E177" s="266"/>
      <c r="F177" s="266"/>
      <c r="G177" s="64"/>
      <c r="H177" s="64"/>
      <c r="I177" s="64"/>
      <c r="J177" s="64"/>
      <c r="K177" s="64"/>
      <c r="L177" s="167"/>
      <c r="M177" s="64"/>
    </row>
    <row r="178" spans="4:13" x14ac:dyDescent="0.25">
      <c r="D178" s="46">
        <v>146</v>
      </c>
      <c r="E178" s="266"/>
      <c r="F178" s="266"/>
      <c r="G178" s="64"/>
      <c r="H178" s="64"/>
      <c r="I178" s="64"/>
      <c r="J178" s="64"/>
      <c r="K178" s="64"/>
      <c r="L178" s="167"/>
      <c r="M178" s="64"/>
    </row>
    <row r="179" spans="4:13" x14ac:dyDescent="0.25">
      <c r="D179" s="46">
        <v>147</v>
      </c>
      <c r="E179" s="266"/>
      <c r="F179" s="266"/>
      <c r="G179" s="64"/>
      <c r="H179" s="64"/>
      <c r="I179" s="64"/>
      <c r="J179" s="64"/>
      <c r="K179" s="64"/>
      <c r="L179" s="167"/>
      <c r="M179" s="64"/>
    </row>
    <row r="180" spans="4:13" x14ac:dyDescent="0.25">
      <c r="D180" s="46">
        <v>148</v>
      </c>
      <c r="E180" s="266"/>
      <c r="F180" s="266"/>
      <c r="G180" s="64"/>
      <c r="H180" s="64"/>
      <c r="I180" s="64"/>
      <c r="J180" s="64"/>
      <c r="K180" s="64"/>
      <c r="L180" s="167"/>
      <c r="M180" s="64"/>
    </row>
    <row r="181" spans="4:13" x14ac:dyDescent="0.25">
      <c r="D181" s="46">
        <v>149</v>
      </c>
      <c r="E181" s="266"/>
      <c r="F181" s="266"/>
      <c r="G181" s="64"/>
      <c r="H181" s="64"/>
      <c r="I181" s="64"/>
      <c r="J181" s="64"/>
      <c r="K181" s="64"/>
      <c r="L181" s="167"/>
      <c r="M181" s="64"/>
    </row>
    <row r="182" spans="4:13" x14ac:dyDescent="0.25">
      <c r="D182" s="46">
        <v>150</v>
      </c>
      <c r="E182" s="266"/>
      <c r="F182" s="266"/>
      <c r="G182" s="64"/>
      <c r="H182" s="64"/>
      <c r="I182" s="64"/>
      <c r="J182" s="64"/>
      <c r="K182" s="64"/>
      <c r="L182" s="167"/>
      <c r="M182" s="64"/>
    </row>
    <row r="183" spans="4:13" x14ac:dyDescent="0.25">
      <c r="D183" s="46">
        <v>151</v>
      </c>
      <c r="E183" s="266"/>
      <c r="F183" s="266"/>
      <c r="G183" s="64"/>
      <c r="H183" s="64"/>
      <c r="I183" s="64"/>
      <c r="J183" s="64"/>
      <c r="K183" s="64"/>
      <c r="L183" s="167"/>
      <c r="M183" s="64"/>
    </row>
    <row r="184" spans="4:13" x14ac:dyDescent="0.25">
      <c r="D184" s="46">
        <v>152</v>
      </c>
      <c r="E184" s="266"/>
      <c r="F184" s="266"/>
      <c r="G184" s="64"/>
      <c r="H184" s="64"/>
      <c r="I184" s="64"/>
      <c r="J184" s="64"/>
      <c r="K184" s="64"/>
      <c r="L184" s="167"/>
      <c r="M184" s="64"/>
    </row>
    <row r="185" spans="4:13" x14ac:dyDescent="0.25">
      <c r="D185" s="46">
        <v>153</v>
      </c>
      <c r="E185" s="266"/>
      <c r="F185" s="266"/>
      <c r="G185" s="64"/>
      <c r="H185" s="64"/>
      <c r="I185" s="64"/>
      <c r="J185" s="64"/>
      <c r="K185" s="64"/>
      <c r="L185" s="167"/>
      <c r="M185" s="64"/>
    </row>
    <row r="186" spans="4:13" x14ac:dyDescent="0.25">
      <c r="D186" s="46">
        <v>154</v>
      </c>
      <c r="E186" s="266"/>
      <c r="F186" s="266"/>
      <c r="G186" s="64"/>
      <c r="H186" s="64"/>
      <c r="I186" s="64"/>
      <c r="J186" s="64"/>
      <c r="K186" s="64"/>
      <c r="L186" s="167"/>
      <c r="M186" s="64"/>
    </row>
    <row r="187" spans="4:13" x14ac:dyDescent="0.25">
      <c r="D187" s="46">
        <v>155</v>
      </c>
      <c r="E187" s="266"/>
      <c r="F187" s="266"/>
      <c r="G187" s="64"/>
      <c r="H187" s="64"/>
      <c r="I187" s="64"/>
      <c r="J187" s="64"/>
      <c r="K187" s="64"/>
      <c r="L187" s="167"/>
      <c r="M187" s="64"/>
    </row>
    <row r="188" spans="4:13" x14ac:dyDescent="0.25">
      <c r="D188" s="46">
        <v>156</v>
      </c>
      <c r="E188" s="266"/>
      <c r="F188" s="266"/>
      <c r="G188" s="64"/>
      <c r="H188" s="64"/>
      <c r="I188" s="64"/>
      <c r="J188" s="64"/>
      <c r="K188" s="64"/>
      <c r="L188" s="167"/>
      <c r="M188" s="64"/>
    </row>
    <row r="189" spans="4:13" x14ac:dyDescent="0.25">
      <c r="D189" s="46">
        <v>157</v>
      </c>
      <c r="E189" s="266"/>
      <c r="F189" s="266"/>
      <c r="G189" s="64"/>
      <c r="H189" s="64"/>
      <c r="I189" s="64"/>
      <c r="J189" s="64"/>
      <c r="K189" s="64"/>
      <c r="L189" s="167"/>
      <c r="M189" s="64"/>
    </row>
    <row r="190" spans="4:13" x14ac:dyDescent="0.25">
      <c r="D190" s="46">
        <v>158</v>
      </c>
      <c r="E190" s="266"/>
      <c r="F190" s="266"/>
      <c r="G190" s="64"/>
      <c r="H190" s="64"/>
      <c r="I190" s="64"/>
      <c r="J190" s="64"/>
      <c r="K190" s="64"/>
      <c r="L190" s="167"/>
      <c r="M190" s="64"/>
    </row>
    <row r="191" spans="4:13" x14ac:dyDescent="0.25">
      <c r="D191" s="46">
        <v>159</v>
      </c>
      <c r="E191" s="266"/>
      <c r="F191" s="266"/>
      <c r="G191" s="64"/>
      <c r="H191" s="64"/>
      <c r="I191" s="64"/>
      <c r="J191" s="64"/>
      <c r="K191" s="64"/>
      <c r="L191" s="167"/>
      <c r="M191" s="64"/>
    </row>
    <row r="192" spans="4:13" x14ac:dyDescent="0.25">
      <c r="D192" s="46">
        <v>160</v>
      </c>
      <c r="E192" s="266"/>
      <c r="F192" s="266"/>
      <c r="G192" s="64"/>
      <c r="H192" s="64"/>
      <c r="I192" s="64"/>
      <c r="J192" s="64"/>
      <c r="K192" s="64"/>
      <c r="L192" s="167"/>
      <c r="M192" s="64"/>
    </row>
    <row r="193" spans="4:13" x14ac:dyDescent="0.25">
      <c r="D193" s="46">
        <v>161</v>
      </c>
      <c r="E193" s="266"/>
      <c r="F193" s="266"/>
      <c r="G193" s="64"/>
      <c r="H193" s="64"/>
      <c r="I193" s="64"/>
      <c r="J193" s="64"/>
      <c r="K193" s="64"/>
      <c r="L193" s="167"/>
      <c r="M193" s="64"/>
    </row>
    <row r="194" spans="4:13" x14ac:dyDescent="0.25">
      <c r="D194" s="46">
        <v>162</v>
      </c>
      <c r="E194" s="266"/>
      <c r="F194" s="266"/>
      <c r="G194" s="64"/>
      <c r="H194" s="64"/>
      <c r="I194" s="64"/>
      <c r="J194" s="64"/>
      <c r="K194" s="64"/>
      <c r="L194" s="167"/>
      <c r="M194" s="64"/>
    </row>
    <row r="195" spans="4:13" x14ac:dyDescent="0.25">
      <c r="D195" s="46">
        <v>163</v>
      </c>
      <c r="E195" s="266"/>
      <c r="F195" s="266"/>
      <c r="G195" s="64"/>
      <c r="H195" s="64"/>
      <c r="I195" s="64"/>
      <c r="J195" s="64"/>
      <c r="K195" s="64"/>
      <c r="L195" s="167"/>
      <c r="M195" s="64"/>
    </row>
    <row r="196" spans="4:13" x14ac:dyDescent="0.25">
      <c r="D196" s="46">
        <v>164</v>
      </c>
      <c r="E196" s="266"/>
      <c r="F196" s="266"/>
      <c r="G196" s="64"/>
      <c r="H196" s="64"/>
      <c r="I196" s="64"/>
      <c r="J196" s="64"/>
      <c r="K196" s="64"/>
      <c r="L196" s="167"/>
      <c r="M196" s="64"/>
    </row>
    <row r="197" spans="4:13" x14ac:dyDescent="0.25">
      <c r="D197" s="46">
        <v>165</v>
      </c>
      <c r="E197" s="266"/>
      <c r="F197" s="266"/>
      <c r="G197" s="64"/>
      <c r="H197" s="64"/>
      <c r="I197" s="64"/>
      <c r="J197" s="64"/>
      <c r="K197" s="64"/>
      <c r="L197" s="167"/>
      <c r="M197" s="64"/>
    </row>
    <row r="198" spans="4:13" x14ac:dyDescent="0.25">
      <c r="D198" s="46">
        <v>166</v>
      </c>
      <c r="E198" s="266"/>
      <c r="F198" s="266"/>
      <c r="G198" s="64"/>
      <c r="H198" s="64"/>
      <c r="I198" s="64"/>
      <c r="J198" s="64"/>
      <c r="K198" s="64"/>
      <c r="L198" s="167"/>
      <c r="M198" s="64"/>
    </row>
    <row r="199" spans="4:13" x14ac:dyDescent="0.25">
      <c r="D199" s="46">
        <v>167</v>
      </c>
      <c r="E199" s="266"/>
      <c r="F199" s="266"/>
      <c r="G199" s="64"/>
      <c r="H199" s="64"/>
      <c r="I199" s="64"/>
      <c r="J199" s="64"/>
      <c r="K199" s="64"/>
      <c r="L199" s="167"/>
      <c r="M199" s="64"/>
    </row>
    <row r="200" spans="4:13" x14ac:dyDescent="0.25">
      <c r="D200" s="46">
        <v>168</v>
      </c>
      <c r="E200" s="266"/>
      <c r="F200" s="266"/>
      <c r="G200" s="64"/>
      <c r="H200" s="64"/>
      <c r="I200" s="64"/>
      <c r="J200" s="64"/>
      <c r="K200" s="64"/>
      <c r="L200" s="167"/>
      <c r="M200" s="64"/>
    </row>
    <row r="201" spans="4:13" x14ac:dyDescent="0.25">
      <c r="D201" s="46">
        <v>169</v>
      </c>
      <c r="E201" s="266"/>
      <c r="F201" s="266"/>
      <c r="G201" s="64"/>
      <c r="H201" s="64"/>
      <c r="I201" s="64"/>
      <c r="J201" s="64"/>
      <c r="K201" s="64"/>
      <c r="L201" s="167"/>
      <c r="M201" s="64"/>
    </row>
    <row r="202" spans="4:13" x14ac:dyDescent="0.25">
      <c r="D202" s="46">
        <v>170</v>
      </c>
      <c r="E202" s="266"/>
      <c r="F202" s="266"/>
      <c r="G202" s="64"/>
      <c r="H202" s="64"/>
      <c r="I202" s="64"/>
      <c r="J202" s="64"/>
      <c r="K202" s="64"/>
      <c r="L202" s="167"/>
      <c r="M202" s="64"/>
    </row>
    <row r="203" spans="4:13" x14ac:dyDescent="0.25">
      <c r="D203" s="46">
        <v>171</v>
      </c>
      <c r="E203" s="266"/>
      <c r="F203" s="266"/>
      <c r="G203" s="64"/>
      <c r="H203" s="64"/>
      <c r="I203" s="64"/>
      <c r="J203" s="64"/>
      <c r="K203" s="64"/>
      <c r="L203" s="167"/>
      <c r="M203" s="64"/>
    </row>
    <row r="204" spans="4:13" x14ac:dyDescent="0.25">
      <c r="D204" s="46">
        <v>172</v>
      </c>
      <c r="E204" s="266"/>
      <c r="F204" s="266"/>
      <c r="G204" s="64"/>
      <c r="H204" s="64"/>
      <c r="I204" s="64"/>
      <c r="J204" s="64"/>
      <c r="K204" s="64"/>
      <c r="L204" s="167"/>
      <c r="M204" s="64"/>
    </row>
    <row r="205" spans="4:13" x14ac:dyDescent="0.25">
      <c r="D205" s="46">
        <v>173</v>
      </c>
      <c r="E205" s="266"/>
      <c r="F205" s="266"/>
      <c r="G205" s="64"/>
      <c r="H205" s="64"/>
      <c r="I205" s="64"/>
      <c r="J205" s="64"/>
      <c r="K205" s="64"/>
      <c r="L205" s="167"/>
      <c r="M205" s="64"/>
    </row>
    <row r="206" spans="4:13" x14ac:dyDescent="0.25">
      <c r="D206" s="46">
        <v>174</v>
      </c>
      <c r="E206" s="266"/>
      <c r="F206" s="266"/>
      <c r="G206" s="64"/>
      <c r="H206" s="64"/>
      <c r="I206" s="64"/>
      <c r="J206" s="64"/>
      <c r="K206" s="64"/>
      <c r="L206" s="167"/>
      <c r="M206" s="64"/>
    </row>
    <row r="207" spans="4:13" x14ac:dyDescent="0.25">
      <c r="D207" s="46">
        <v>175</v>
      </c>
      <c r="E207" s="266"/>
      <c r="F207" s="266"/>
      <c r="G207" s="64"/>
      <c r="H207" s="64"/>
      <c r="I207" s="64"/>
      <c r="J207" s="64"/>
      <c r="K207" s="64"/>
      <c r="L207" s="167"/>
      <c r="M207" s="64"/>
    </row>
    <row r="208" spans="4:13" x14ac:dyDescent="0.25">
      <c r="D208" s="46">
        <v>176</v>
      </c>
      <c r="E208" s="266"/>
      <c r="F208" s="266"/>
      <c r="G208" s="64"/>
      <c r="H208" s="64"/>
      <c r="I208" s="64"/>
      <c r="J208" s="64"/>
      <c r="K208" s="64"/>
      <c r="L208" s="167"/>
      <c r="M208" s="64"/>
    </row>
    <row r="209" spans="4:13" x14ac:dyDescent="0.25">
      <c r="D209" s="46">
        <v>177</v>
      </c>
      <c r="E209" s="266"/>
      <c r="F209" s="266"/>
      <c r="G209" s="64"/>
      <c r="H209" s="64"/>
      <c r="I209" s="64"/>
      <c r="J209" s="64"/>
      <c r="K209" s="64"/>
      <c r="L209" s="167"/>
      <c r="M209" s="64"/>
    </row>
    <row r="210" spans="4:13" x14ac:dyDescent="0.25">
      <c r="D210" s="46">
        <v>178</v>
      </c>
      <c r="E210" s="266"/>
      <c r="F210" s="266"/>
      <c r="G210" s="64"/>
      <c r="H210" s="64"/>
      <c r="I210" s="64"/>
      <c r="J210" s="64"/>
      <c r="K210" s="64"/>
      <c r="L210" s="167"/>
      <c r="M210" s="64"/>
    </row>
    <row r="211" spans="4:13" x14ac:dyDescent="0.25">
      <c r="D211" s="46">
        <v>179</v>
      </c>
      <c r="E211" s="266"/>
      <c r="F211" s="266"/>
      <c r="G211" s="64"/>
      <c r="H211" s="64"/>
      <c r="I211" s="64"/>
      <c r="J211" s="64"/>
      <c r="K211" s="64"/>
      <c r="L211" s="167"/>
      <c r="M211" s="64"/>
    </row>
    <row r="212" spans="4:13" x14ac:dyDescent="0.25">
      <c r="D212" s="46">
        <v>180</v>
      </c>
      <c r="E212" s="266"/>
      <c r="F212" s="266"/>
      <c r="G212" s="64"/>
      <c r="H212" s="64"/>
      <c r="I212" s="64"/>
      <c r="J212" s="64"/>
      <c r="K212" s="64"/>
      <c r="L212" s="167"/>
      <c r="M212" s="64"/>
    </row>
    <row r="213" spans="4:13" x14ac:dyDescent="0.25">
      <c r="D213" s="46">
        <v>181</v>
      </c>
      <c r="E213" s="266"/>
      <c r="F213" s="266"/>
      <c r="G213" s="64"/>
      <c r="H213" s="64"/>
      <c r="I213" s="64"/>
      <c r="J213" s="64"/>
      <c r="K213" s="64"/>
      <c r="L213" s="167"/>
      <c r="M213" s="64"/>
    </row>
    <row r="214" spans="4:13" x14ac:dyDescent="0.25">
      <c r="D214" s="46">
        <v>182</v>
      </c>
      <c r="E214" s="266"/>
      <c r="F214" s="266"/>
      <c r="G214" s="64"/>
      <c r="H214" s="64"/>
      <c r="I214" s="64"/>
      <c r="J214" s="64"/>
      <c r="K214" s="64"/>
      <c r="L214" s="167"/>
      <c r="M214" s="64"/>
    </row>
    <row r="215" spans="4:13" x14ac:dyDescent="0.25">
      <c r="D215" s="46">
        <v>183</v>
      </c>
      <c r="E215" s="266"/>
      <c r="F215" s="266"/>
      <c r="G215" s="64"/>
      <c r="H215" s="64"/>
      <c r="I215" s="64"/>
      <c r="J215" s="64"/>
      <c r="K215" s="64"/>
      <c r="L215" s="167"/>
      <c r="M215" s="64"/>
    </row>
    <row r="216" spans="4:13" x14ac:dyDescent="0.25">
      <c r="D216" s="46">
        <v>184</v>
      </c>
      <c r="E216" s="266"/>
      <c r="F216" s="266"/>
      <c r="G216" s="64"/>
      <c r="H216" s="64"/>
      <c r="I216" s="64"/>
      <c r="J216" s="64"/>
      <c r="K216" s="64"/>
      <c r="L216" s="167"/>
      <c r="M216" s="64"/>
    </row>
    <row r="217" spans="4:13" x14ac:dyDescent="0.25">
      <c r="D217" s="46">
        <v>185</v>
      </c>
      <c r="E217" s="266"/>
      <c r="F217" s="266"/>
      <c r="G217" s="64"/>
      <c r="H217" s="64"/>
      <c r="I217" s="64"/>
      <c r="J217" s="64"/>
      <c r="K217" s="64"/>
      <c r="L217" s="167"/>
      <c r="M217" s="64"/>
    </row>
    <row r="218" spans="4:13" x14ac:dyDescent="0.25">
      <c r="D218" s="46">
        <v>186</v>
      </c>
      <c r="E218" s="266"/>
      <c r="F218" s="266"/>
      <c r="G218" s="64"/>
      <c r="H218" s="64"/>
      <c r="I218" s="64"/>
      <c r="J218" s="64"/>
      <c r="K218" s="64"/>
      <c r="L218" s="167"/>
      <c r="M218" s="64"/>
    </row>
    <row r="219" spans="4:13" x14ac:dyDescent="0.25">
      <c r="D219" s="46">
        <v>187</v>
      </c>
      <c r="E219" s="266"/>
      <c r="F219" s="266"/>
      <c r="G219" s="64"/>
      <c r="H219" s="64"/>
      <c r="I219" s="64"/>
      <c r="J219" s="64"/>
      <c r="K219" s="64"/>
      <c r="L219" s="167"/>
      <c r="M219" s="64"/>
    </row>
    <row r="220" spans="4:13" x14ac:dyDescent="0.25">
      <c r="D220" s="46">
        <v>188</v>
      </c>
      <c r="E220" s="266"/>
      <c r="F220" s="266"/>
      <c r="G220" s="64"/>
      <c r="H220" s="64"/>
      <c r="I220" s="64"/>
      <c r="J220" s="64"/>
      <c r="K220" s="64"/>
      <c r="L220" s="167"/>
      <c r="M220" s="64"/>
    </row>
    <row r="221" spans="4:13" x14ac:dyDescent="0.25">
      <c r="D221" s="46">
        <v>189</v>
      </c>
      <c r="E221" s="266"/>
      <c r="F221" s="266"/>
      <c r="G221" s="64"/>
      <c r="H221" s="64"/>
      <c r="I221" s="64"/>
      <c r="J221" s="64"/>
      <c r="K221" s="64"/>
      <c r="L221" s="167"/>
      <c r="M221" s="64"/>
    </row>
    <row r="222" spans="4:13" x14ac:dyDescent="0.25">
      <c r="D222" s="46">
        <v>190</v>
      </c>
      <c r="E222" s="266"/>
      <c r="F222" s="266"/>
      <c r="G222" s="64"/>
      <c r="H222" s="64"/>
      <c r="I222" s="64"/>
      <c r="J222" s="64"/>
      <c r="K222" s="64"/>
      <c r="L222" s="167"/>
      <c r="M222" s="64"/>
    </row>
    <row r="223" spans="4:13" x14ac:dyDescent="0.25">
      <c r="D223" s="46">
        <v>191</v>
      </c>
      <c r="E223" s="266"/>
      <c r="F223" s="266"/>
      <c r="G223" s="64"/>
      <c r="H223" s="64"/>
      <c r="I223" s="64"/>
      <c r="J223" s="64"/>
      <c r="K223" s="64"/>
      <c r="L223" s="167"/>
      <c r="M223" s="64"/>
    </row>
    <row r="224" spans="4:13" x14ac:dyDescent="0.25">
      <c r="D224" s="46">
        <v>192</v>
      </c>
      <c r="E224" s="266"/>
      <c r="F224" s="266"/>
      <c r="G224" s="64"/>
      <c r="H224" s="64"/>
      <c r="I224" s="64"/>
      <c r="J224" s="64"/>
      <c r="K224" s="64"/>
      <c r="L224" s="167"/>
      <c r="M224" s="64"/>
    </row>
    <row r="225" spans="4:13" x14ac:dyDescent="0.25">
      <c r="D225" s="46">
        <v>193</v>
      </c>
      <c r="E225" s="266"/>
      <c r="F225" s="266"/>
      <c r="G225" s="64"/>
      <c r="H225" s="64"/>
      <c r="I225" s="64"/>
      <c r="J225" s="64"/>
      <c r="K225" s="64"/>
      <c r="L225" s="167"/>
      <c r="M225" s="64"/>
    </row>
    <row r="226" spans="4:13" x14ac:dyDescent="0.25">
      <c r="D226" s="46">
        <v>194</v>
      </c>
      <c r="E226" s="266"/>
      <c r="F226" s="266"/>
      <c r="G226" s="64"/>
      <c r="H226" s="64"/>
      <c r="I226" s="64"/>
      <c r="J226" s="64"/>
      <c r="K226" s="64"/>
      <c r="L226" s="167"/>
      <c r="M226" s="64"/>
    </row>
    <row r="227" spans="4:13" x14ac:dyDescent="0.25">
      <c r="D227" s="46">
        <v>195</v>
      </c>
      <c r="E227" s="266"/>
      <c r="F227" s="266"/>
      <c r="G227" s="64"/>
      <c r="H227" s="64"/>
      <c r="I227" s="64"/>
      <c r="J227" s="64"/>
      <c r="K227" s="64"/>
      <c r="L227" s="167"/>
      <c r="M227" s="64"/>
    </row>
    <row r="228" spans="4:13" x14ac:dyDescent="0.25">
      <c r="D228" s="46">
        <v>196</v>
      </c>
      <c r="E228" s="266"/>
      <c r="F228" s="266"/>
      <c r="G228" s="64"/>
      <c r="H228" s="64"/>
      <c r="I228" s="64"/>
      <c r="J228" s="64"/>
      <c r="K228" s="64"/>
      <c r="L228" s="167"/>
      <c r="M228" s="64"/>
    </row>
    <row r="229" spans="4:13" x14ac:dyDescent="0.25">
      <c r="D229" s="46">
        <v>197</v>
      </c>
      <c r="E229" s="266"/>
      <c r="F229" s="266"/>
      <c r="G229" s="64"/>
      <c r="H229" s="64"/>
      <c r="I229" s="64"/>
      <c r="J229" s="64"/>
      <c r="K229" s="64"/>
      <c r="L229" s="167"/>
      <c r="M229" s="64"/>
    </row>
    <row r="230" spans="4:13" x14ac:dyDescent="0.25">
      <c r="D230" s="46">
        <v>198</v>
      </c>
      <c r="E230" s="266"/>
      <c r="F230" s="266"/>
      <c r="G230" s="64"/>
      <c r="H230" s="64"/>
      <c r="I230" s="64"/>
      <c r="J230" s="64"/>
      <c r="K230" s="64"/>
      <c r="L230" s="167"/>
      <c r="M230" s="64"/>
    </row>
    <row r="231" spans="4:13" x14ac:dyDescent="0.25">
      <c r="D231" s="46">
        <v>199</v>
      </c>
      <c r="E231" s="266"/>
      <c r="F231" s="266"/>
      <c r="G231" s="64"/>
      <c r="H231" s="64"/>
      <c r="I231" s="64"/>
      <c r="J231" s="64"/>
      <c r="K231" s="64"/>
      <c r="L231" s="167"/>
      <c r="M231" s="64"/>
    </row>
    <row r="232" spans="4:13" x14ac:dyDescent="0.25">
      <c r="D232" s="46">
        <v>200</v>
      </c>
      <c r="E232" s="266"/>
      <c r="F232" s="266"/>
      <c r="G232" s="64"/>
      <c r="H232" s="64"/>
      <c r="I232" s="64"/>
      <c r="J232" s="64"/>
      <c r="K232" s="64"/>
      <c r="L232" s="167"/>
      <c r="M232" s="64"/>
    </row>
    <row r="233" spans="4:13" x14ac:dyDescent="0.25">
      <c r="D233" s="46">
        <v>201</v>
      </c>
      <c r="E233" s="266"/>
      <c r="F233" s="266"/>
      <c r="G233" s="64"/>
      <c r="H233" s="64"/>
      <c r="I233" s="64"/>
      <c r="J233" s="64"/>
      <c r="K233" s="64"/>
      <c r="L233" s="167"/>
      <c r="M233" s="64"/>
    </row>
    <row r="234" spans="4:13" x14ac:dyDescent="0.25">
      <c r="D234" s="46">
        <v>202</v>
      </c>
      <c r="E234" s="266"/>
      <c r="F234" s="266"/>
      <c r="G234" s="64"/>
      <c r="H234" s="64"/>
      <c r="I234" s="64"/>
      <c r="J234" s="64"/>
      <c r="K234" s="64"/>
      <c r="L234" s="167"/>
      <c r="M234" s="64"/>
    </row>
    <row r="235" spans="4:13" x14ac:dyDescent="0.25">
      <c r="D235" s="46">
        <v>203</v>
      </c>
      <c r="E235" s="266"/>
      <c r="F235" s="266"/>
      <c r="G235" s="64"/>
      <c r="H235" s="64"/>
      <c r="I235" s="64"/>
      <c r="J235" s="64"/>
      <c r="K235" s="64"/>
      <c r="L235" s="167"/>
      <c r="M235" s="64"/>
    </row>
    <row r="236" spans="4:13" x14ac:dyDescent="0.25">
      <c r="D236" s="46">
        <v>204</v>
      </c>
      <c r="E236" s="266"/>
      <c r="F236" s="266"/>
      <c r="G236" s="64"/>
      <c r="H236" s="64"/>
      <c r="I236" s="64"/>
      <c r="J236" s="64"/>
      <c r="K236" s="64"/>
      <c r="L236" s="167"/>
      <c r="M236" s="64"/>
    </row>
    <row r="237" spans="4:13" x14ac:dyDescent="0.25">
      <c r="D237" s="46">
        <v>205</v>
      </c>
      <c r="E237" s="266"/>
      <c r="F237" s="266"/>
      <c r="G237" s="64"/>
      <c r="H237" s="64"/>
      <c r="I237" s="64"/>
      <c r="J237" s="64"/>
      <c r="K237" s="64"/>
      <c r="L237" s="167"/>
      <c r="M237" s="64"/>
    </row>
    <row r="238" spans="4:13" x14ac:dyDescent="0.25">
      <c r="D238" s="46">
        <v>206</v>
      </c>
      <c r="E238" s="266"/>
      <c r="F238" s="266"/>
      <c r="G238" s="64"/>
      <c r="H238" s="64"/>
      <c r="I238" s="64"/>
      <c r="J238" s="64"/>
      <c r="K238" s="64"/>
      <c r="L238" s="167"/>
      <c r="M238" s="64"/>
    </row>
    <row r="239" spans="4:13" x14ac:dyDescent="0.25">
      <c r="D239" s="46">
        <v>207</v>
      </c>
      <c r="E239" s="266"/>
      <c r="F239" s="266"/>
      <c r="G239" s="64"/>
      <c r="H239" s="64"/>
      <c r="I239" s="64"/>
      <c r="J239" s="64"/>
      <c r="K239" s="64"/>
      <c r="L239" s="167"/>
      <c r="M239" s="64"/>
    </row>
    <row r="240" spans="4:13" x14ac:dyDescent="0.25">
      <c r="D240" s="46">
        <v>208</v>
      </c>
      <c r="E240" s="266"/>
      <c r="F240" s="266"/>
      <c r="G240" s="64"/>
      <c r="H240" s="64"/>
      <c r="I240" s="64"/>
      <c r="J240" s="64"/>
      <c r="K240" s="64"/>
      <c r="L240" s="167"/>
      <c r="M240" s="64"/>
    </row>
    <row r="241" spans="4:13" x14ac:dyDescent="0.25">
      <c r="D241" s="46">
        <v>209</v>
      </c>
      <c r="E241" s="266"/>
      <c r="F241" s="266"/>
      <c r="G241" s="64"/>
      <c r="H241" s="64"/>
      <c r="I241" s="64"/>
      <c r="J241" s="64"/>
      <c r="K241" s="64"/>
      <c r="L241" s="167"/>
      <c r="M241" s="64"/>
    </row>
    <row r="242" spans="4:13" x14ac:dyDescent="0.25">
      <c r="D242" s="46">
        <v>210</v>
      </c>
      <c r="E242" s="266"/>
      <c r="F242" s="266"/>
      <c r="G242" s="64"/>
      <c r="H242" s="64"/>
      <c r="I242" s="64"/>
      <c r="J242" s="64"/>
      <c r="K242" s="64"/>
      <c r="L242" s="167"/>
      <c r="M242" s="64"/>
    </row>
    <row r="243" spans="4:13" x14ac:dyDescent="0.25">
      <c r="D243" s="46">
        <v>211</v>
      </c>
      <c r="E243" s="266"/>
      <c r="F243" s="266"/>
      <c r="G243" s="64"/>
      <c r="H243" s="64"/>
      <c r="I243" s="64"/>
      <c r="J243" s="64"/>
      <c r="K243" s="64"/>
      <c r="L243" s="167"/>
      <c r="M243" s="64"/>
    </row>
    <row r="244" spans="4:13" x14ac:dyDescent="0.25">
      <c r="D244" s="46">
        <v>212</v>
      </c>
      <c r="E244" s="266"/>
      <c r="F244" s="266"/>
      <c r="G244" s="64"/>
      <c r="H244" s="64"/>
      <c r="I244" s="64"/>
      <c r="J244" s="64"/>
      <c r="K244" s="64"/>
      <c r="L244" s="167"/>
      <c r="M244" s="64"/>
    </row>
    <row r="245" spans="4:13" x14ac:dyDescent="0.25">
      <c r="D245" s="46">
        <v>213</v>
      </c>
      <c r="E245" s="266"/>
      <c r="F245" s="266"/>
      <c r="G245" s="64"/>
      <c r="H245" s="64"/>
      <c r="I245" s="64"/>
      <c r="J245" s="64"/>
      <c r="K245" s="64"/>
      <c r="L245" s="167"/>
      <c r="M245" s="64"/>
    </row>
    <row r="246" spans="4:13" x14ac:dyDescent="0.25">
      <c r="D246" s="46">
        <v>214</v>
      </c>
      <c r="E246" s="266"/>
      <c r="F246" s="266"/>
      <c r="G246" s="64"/>
      <c r="H246" s="64"/>
      <c r="I246" s="64"/>
      <c r="J246" s="64"/>
      <c r="K246" s="64"/>
      <c r="L246" s="167"/>
      <c r="M246" s="64"/>
    </row>
    <row r="247" spans="4:13" x14ac:dyDescent="0.25">
      <c r="D247" s="46">
        <v>215</v>
      </c>
      <c r="E247" s="266"/>
      <c r="F247" s="266"/>
      <c r="G247" s="64"/>
      <c r="H247" s="64"/>
      <c r="I247" s="64"/>
      <c r="J247" s="64"/>
      <c r="K247" s="64"/>
      <c r="L247" s="167"/>
      <c r="M247" s="64"/>
    </row>
    <row r="248" spans="4:13" x14ac:dyDescent="0.25">
      <c r="D248" s="46">
        <v>216</v>
      </c>
      <c r="E248" s="266"/>
      <c r="F248" s="266"/>
      <c r="G248" s="64"/>
      <c r="H248" s="64"/>
      <c r="I248" s="64"/>
      <c r="J248" s="64"/>
      <c r="K248" s="64"/>
      <c r="L248" s="167"/>
      <c r="M248" s="64"/>
    </row>
    <row r="249" spans="4:13" x14ac:dyDescent="0.25">
      <c r="D249" s="46">
        <v>217</v>
      </c>
      <c r="E249" s="266"/>
      <c r="F249" s="266"/>
      <c r="G249" s="64"/>
      <c r="H249" s="64"/>
      <c r="I249" s="64"/>
      <c r="J249" s="64"/>
      <c r="K249" s="64"/>
      <c r="L249" s="167"/>
      <c r="M249" s="64"/>
    </row>
    <row r="250" spans="4:13" x14ac:dyDescent="0.25">
      <c r="D250" s="46">
        <v>218</v>
      </c>
      <c r="E250" s="266"/>
      <c r="F250" s="266"/>
      <c r="G250" s="64"/>
      <c r="H250" s="64"/>
      <c r="I250" s="64"/>
      <c r="J250" s="64"/>
      <c r="K250" s="64"/>
      <c r="L250" s="167"/>
      <c r="M250" s="64"/>
    </row>
    <row r="251" spans="4:13" x14ac:dyDescent="0.25">
      <c r="D251" s="46">
        <v>219</v>
      </c>
      <c r="E251" s="266"/>
      <c r="F251" s="266"/>
      <c r="G251" s="64"/>
      <c r="H251" s="64"/>
      <c r="I251" s="64"/>
      <c r="J251" s="64"/>
      <c r="K251" s="64"/>
      <c r="L251" s="167"/>
      <c r="M251" s="64"/>
    </row>
    <row r="252" spans="4:13" x14ac:dyDescent="0.25">
      <c r="D252" s="46">
        <v>220</v>
      </c>
      <c r="E252" s="266"/>
      <c r="F252" s="266"/>
      <c r="G252" s="64"/>
      <c r="H252" s="64"/>
      <c r="I252" s="64"/>
      <c r="J252" s="64"/>
      <c r="K252" s="64"/>
      <c r="L252" s="167"/>
      <c r="M252" s="64"/>
    </row>
    <row r="253" spans="4:13" x14ac:dyDescent="0.25">
      <c r="D253" s="46">
        <v>221</v>
      </c>
      <c r="E253" s="266"/>
      <c r="F253" s="266"/>
      <c r="G253" s="64"/>
      <c r="H253" s="64"/>
      <c r="I253" s="64"/>
      <c r="J253" s="64"/>
      <c r="K253" s="64"/>
      <c r="L253" s="167"/>
      <c r="M253" s="64"/>
    </row>
    <row r="254" spans="4:13" x14ac:dyDescent="0.25">
      <c r="D254" s="46">
        <v>222</v>
      </c>
      <c r="E254" s="266"/>
      <c r="F254" s="266"/>
      <c r="G254" s="64"/>
      <c r="H254" s="64"/>
      <c r="I254" s="64"/>
      <c r="J254" s="64"/>
      <c r="K254" s="64"/>
      <c r="L254" s="167"/>
      <c r="M254" s="64"/>
    </row>
    <row r="255" spans="4:13" x14ac:dyDescent="0.25">
      <c r="D255" s="46">
        <v>223</v>
      </c>
      <c r="E255" s="266"/>
      <c r="F255" s="266"/>
      <c r="G255" s="64"/>
      <c r="H255" s="64"/>
      <c r="I255" s="64"/>
      <c r="J255" s="64"/>
      <c r="K255" s="64"/>
      <c r="L255" s="167"/>
      <c r="M255" s="64"/>
    </row>
    <row r="256" spans="4:13" x14ac:dyDescent="0.25">
      <c r="D256" s="46">
        <v>224</v>
      </c>
      <c r="E256" s="266"/>
      <c r="F256" s="266"/>
      <c r="G256" s="64"/>
      <c r="H256" s="64"/>
      <c r="I256" s="64"/>
      <c r="J256" s="64"/>
      <c r="K256" s="64"/>
      <c r="L256" s="167"/>
      <c r="M256" s="64"/>
    </row>
    <row r="257" spans="4:13" x14ac:dyDescent="0.25">
      <c r="D257" s="46">
        <v>225</v>
      </c>
      <c r="E257" s="266"/>
      <c r="F257" s="266"/>
      <c r="G257" s="64"/>
      <c r="H257" s="64"/>
      <c r="I257" s="64"/>
      <c r="J257" s="64"/>
      <c r="K257" s="64"/>
      <c r="L257" s="167"/>
      <c r="M257" s="64"/>
    </row>
    <row r="258" spans="4:13" x14ac:dyDescent="0.25">
      <c r="D258" s="46">
        <v>226</v>
      </c>
      <c r="E258" s="266"/>
      <c r="F258" s="266"/>
      <c r="G258" s="64"/>
      <c r="H258" s="64"/>
      <c r="I258" s="64"/>
      <c r="J258" s="64"/>
      <c r="K258" s="64"/>
      <c r="L258" s="167"/>
      <c r="M258" s="64"/>
    </row>
    <row r="259" spans="4:13" x14ac:dyDescent="0.25">
      <c r="D259" s="46">
        <v>227</v>
      </c>
      <c r="E259" s="266"/>
      <c r="F259" s="266"/>
      <c r="G259" s="64"/>
      <c r="H259" s="64"/>
      <c r="I259" s="64"/>
      <c r="J259" s="64"/>
      <c r="K259" s="64"/>
      <c r="L259" s="167"/>
      <c r="M259" s="64"/>
    </row>
    <row r="260" spans="4:13" x14ac:dyDescent="0.25">
      <c r="D260" s="46">
        <v>228</v>
      </c>
      <c r="E260" s="266"/>
      <c r="F260" s="266"/>
      <c r="G260" s="64"/>
      <c r="H260" s="64"/>
      <c r="I260" s="64"/>
      <c r="J260" s="64"/>
      <c r="K260" s="64"/>
      <c r="L260" s="167"/>
      <c r="M260" s="64"/>
    </row>
    <row r="261" spans="4:13" x14ac:dyDescent="0.25">
      <c r="D261" s="46">
        <v>229</v>
      </c>
      <c r="E261" s="266"/>
      <c r="F261" s="266"/>
      <c r="G261" s="64"/>
      <c r="H261" s="64"/>
      <c r="I261" s="64"/>
      <c r="J261" s="64"/>
      <c r="K261" s="64"/>
      <c r="L261" s="167"/>
      <c r="M261" s="64"/>
    </row>
    <row r="262" spans="4:13" x14ac:dyDescent="0.25">
      <c r="D262" s="46">
        <v>230</v>
      </c>
      <c r="E262" s="266"/>
      <c r="F262" s="266"/>
      <c r="G262" s="64"/>
      <c r="H262" s="64"/>
      <c r="I262" s="64"/>
      <c r="J262" s="64"/>
      <c r="K262" s="64"/>
      <c r="L262" s="167"/>
      <c r="M262" s="64"/>
    </row>
    <row r="263" spans="4:13" x14ac:dyDescent="0.25">
      <c r="D263" s="46">
        <v>231</v>
      </c>
      <c r="E263" s="266"/>
      <c r="F263" s="266"/>
      <c r="G263" s="64"/>
      <c r="H263" s="64"/>
      <c r="I263" s="64"/>
      <c r="J263" s="64"/>
      <c r="K263" s="64"/>
      <c r="L263" s="167"/>
      <c r="M263" s="64"/>
    </row>
    <row r="264" spans="4:13" x14ac:dyDescent="0.25">
      <c r="D264" s="46">
        <v>232</v>
      </c>
      <c r="E264" s="266"/>
      <c r="F264" s="266"/>
      <c r="G264" s="64"/>
      <c r="H264" s="64"/>
      <c r="I264" s="64"/>
      <c r="J264" s="64"/>
      <c r="K264" s="64"/>
      <c r="L264" s="167"/>
      <c r="M264" s="64"/>
    </row>
    <row r="265" spans="4:13" x14ac:dyDescent="0.25">
      <c r="D265" s="46">
        <v>233</v>
      </c>
      <c r="E265" s="266"/>
      <c r="F265" s="266"/>
      <c r="G265" s="64"/>
      <c r="H265" s="64"/>
      <c r="I265" s="64"/>
      <c r="J265" s="64"/>
      <c r="K265" s="64"/>
      <c r="L265" s="167"/>
      <c r="M265" s="64"/>
    </row>
    <row r="266" spans="4:13" x14ac:dyDescent="0.25">
      <c r="D266" s="46">
        <v>234</v>
      </c>
      <c r="E266" s="266"/>
      <c r="F266" s="266"/>
      <c r="G266" s="64"/>
      <c r="H266" s="64"/>
      <c r="I266" s="64"/>
      <c r="J266" s="64"/>
      <c r="K266" s="64"/>
      <c r="L266" s="167"/>
      <c r="M266" s="64"/>
    </row>
    <row r="267" spans="4:13" x14ac:dyDescent="0.25">
      <c r="D267" s="46">
        <v>235</v>
      </c>
      <c r="E267" s="266"/>
      <c r="F267" s="266"/>
      <c r="G267" s="64"/>
      <c r="H267" s="64"/>
      <c r="I267" s="64"/>
      <c r="J267" s="64"/>
      <c r="K267" s="64"/>
      <c r="L267" s="167"/>
      <c r="M267" s="64"/>
    </row>
    <row r="268" spans="4:13" x14ac:dyDescent="0.25">
      <c r="D268" s="46">
        <v>236</v>
      </c>
      <c r="E268" s="266"/>
      <c r="F268" s="266"/>
      <c r="G268" s="64"/>
      <c r="H268" s="64"/>
      <c r="I268" s="64"/>
      <c r="J268" s="64"/>
      <c r="K268" s="64"/>
      <c r="L268" s="167"/>
      <c r="M268" s="64"/>
    </row>
    <row r="269" spans="4:13" x14ac:dyDescent="0.25">
      <c r="D269" s="46">
        <v>237</v>
      </c>
      <c r="E269" s="266"/>
      <c r="F269" s="266"/>
      <c r="G269" s="64"/>
      <c r="H269" s="64"/>
      <c r="I269" s="64"/>
      <c r="J269" s="64"/>
      <c r="K269" s="64"/>
      <c r="L269" s="167"/>
      <c r="M269" s="64"/>
    </row>
    <row r="270" spans="4:13" x14ac:dyDescent="0.25">
      <c r="D270" s="46">
        <v>238</v>
      </c>
      <c r="E270" s="266"/>
      <c r="F270" s="266"/>
      <c r="G270" s="64"/>
      <c r="H270" s="64"/>
      <c r="I270" s="64"/>
      <c r="J270" s="64"/>
      <c r="K270" s="64"/>
      <c r="L270" s="167"/>
      <c r="M270" s="64"/>
    </row>
    <row r="271" spans="4:13" x14ac:dyDescent="0.25">
      <c r="D271" s="46">
        <v>239</v>
      </c>
      <c r="E271" s="266"/>
      <c r="F271" s="266"/>
      <c r="G271" s="64"/>
      <c r="H271" s="64"/>
      <c r="I271" s="64"/>
      <c r="J271" s="64"/>
      <c r="K271" s="64"/>
      <c r="L271" s="167"/>
      <c r="M271" s="64"/>
    </row>
    <row r="272" spans="4:13" x14ac:dyDescent="0.25">
      <c r="D272" s="46">
        <v>240</v>
      </c>
      <c r="E272" s="266"/>
      <c r="F272" s="266"/>
      <c r="G272" s="64"/>
      <c r="H272" s="64"/>
      <c r="I272" s="64"/>
      <c r="J272" s="64"/>
      <c r="K272" s="64"/>
      <c r="L272" s="167"/>
      <c r="M272" s="64"/>
    </row>
    <row r="273" spans="1:1014" x14ac:dyDescent="0.25">
      <c r="D273" s="46">
        <v>241</v>
      </c>
      <c r="E273" s="266"/>
      <c r="F273" s="266"/>
      <c r="G273" s="64"/>
      <c r="H273" s="64"/>
      <c r="I273" s="64"/>
      <c r="J273" s="64"/>
      <c r="K273" s="64"/>
      <c r="L273" s="167"/>
      <c r="M273" s="64"/>
    </row>
    <row r="274" spans="1:1014" x14ac:dyDescent="0.25">
      <c r="D274" s="46">
        <v>242</v>
      </c>
      <c r="E274" s="266"/>
      <c r="F274" s="266"/>
      <c r="G274" s="64"/>
      <c r="H274" s="64"/>
      <c r="I274" s="64"/>
      <c r="J274" s="64"/>
      <c r="K274" s="64"/>
      <c r="L274" s="167"/>
      <c r="M274" s="64"/>
    </row>
    <row r="275" spans="1:1014" x14ac:dyDescent="0.25">
      <c r="D275" s="46">
        <v>243</v>
      </c>
      <c r="E275" s="266"/>
      <c r="F275" s="266"/>
      <c r="G275" s="64"/>
      <c r="H275" s="64"/>
      <c r="I275" s="64"/>
      <c r="J275" s="64"/>
      <c r="K275" s="64"/>
      <c r="L275" s="167"/>
      <c r="M275" s="64"/>
    </row>
    <row r="276" spans="1:1014" x14ac:dyDescent="0.25">
      <c r="D276" s="46">
        <v>244</v>
      </c>
      <c r="E276" s="266"/>
      <c r="F276" s="266"/>
      <c r="G276" s="64"/>
      <c r="H276" s="64"/>
      <c r="I276" s="64"/>
      <c r="J276" s="64"/>
      <c r="K276" s="64"/>
      <c r="L276" s="167"/>
      <c r="M276" s="64"/>
    </row>
    <row r="277" spans="1:1014" x14ac:dyDescent="0.25">
      <c r="D277" s="46">
        <v>245</v>
      </c>
      <c r="E277" s="266"/>
      <c r="F277" s="266"/>
      <c r="G277" s="64"/>
      <c r="H277" s="64"/>
      <c r="I277" s="64"/>
      <c r="J277" s="64"/>
      <c r="K277" s="64"/>
      <c r="L277" s="167"/>
      <c r="M277" s="64"/>
    </row>
    <row r="278" spans="1:1014" x14ac:dyDescent="0.25">
      <c r="D278" s="46">
        <v>246</v>
      </c>
      <c r="E278" s="266"/>
      <c r="F278" s="266"/>
      <c r="G278" s="64"/>
      <c r="H278" s="64"/>
      <c r="I278" s="64"/>
      <c r="J278" s="64"/>
      <c r="K278" s="64"/>
      <c r="L278" s="167"/>
      <c r="M278" s="64"/>
    </row>
    <row r="279" spans="1:1014" x14ac:dyDescent="0.25">
      <c r="D279" s="46">
        <v>247</v>
      </c>
      <c r="E279" s="266"/>
      <c r="F279" s="266"/>
      <c r="G279" s="64"/>
      <c r="H279" s="64"/>
      <c r="I279" s="64"/>
      <c r="J279" s="64"/>
      <c r="K279" s="64"/>
      <c r="L279" s="167"/>
      <c r="M279" s="64"/>
    </row>
    <row r="280" spans="1:1014" x14ac:dyDescent="0.25">
      <c r="D280" s="46">
        <v>248</v>
      </c>
      <c r="E280" s="266"/>
      <c r="F280" s="266"/>
      <c r="G280" s="64"/>
      <c r="H280" s="64"/>
      <c r="I280" s="64"/>
      <c r="J280" s="64"/>
      <c r="K280" s="64"/>
      <c r="L280" s="167"/>
      <c r="M280" s="64"/>
    </row>
    <row r="281" spans="1:1014" x14ac:dyDescent="0.25">
      <c r="D281" s="46">
        <v>249</v>
      </c>
      <c r="E281" s="266"/>
      <c r="F281" s="266"/>
      <c r="G281" s="64"/>
      <c r="H281" s="64"/>
      <c r="I281" s="64"/>
      <c r="J281" s="64"/>
      <c r="K281" s="64"/>
      <c r="L281" s="167"/>
      <c r="M281" s="64"/>
    </row>
    <row r="282" spans="1:1014" s="50" customFormat="1" x14ac:dyDescent="0.25">
      <c r="A282" s="48"/>
      <c r="B282" s="48"/>
      <c r="C282" s="48"/>
      <c r="D282" s="49">
        <v>250</v>
      </c>
      <c r="E282" s="267"/>
      <c r="F282" s="267"/>
      <c r="G282" s="64"/>
      <c r="H282" s="64"/>
      <c r="I282" s="64"/>
      <c r="J282" s="168"/>
      <c r="K282" s="64"/>
      <c r="L282" s="167"/>
      <c r="M282" s="64"/>
      <c r="O282" s="48"/>
      <c r="P282" s="48"/>
      <c r="Q282" s="48"/>
      <c r="R282" s="48"/>
      <c r="S282" s="48"/>
      <c r="T282" s="48"/>
      <c r="U282" s="48"/>
      <c r="V282" s="48"/>
      <c r="W282" s="48"/>
      <c r="X282" s="48"/>
      <c r="Y282" s="48"/>
      <c r="Z282" s="48"/>
      <c r="AA282" s="48"/>
      <c r="AB282" s="48"/>
      <c r="AC282" s="48"/>
      <c r="AD282" s="48"/>
      <c r="AE282" s="48"/>
      <c r="AF282" s="48"/>
      <c r="AG282" s="48"/>
      <c r="AH282" s="48"/>
      <c r="AI282" s="48"/>
      <c r="AJ282" s="48"/>
      <c r="AK282" s="48"/>
      <c r="AL282" s="48"/>
      <c r="AM282" s="48"/>
      <c r="AN282" s="48"/>
      <c r="AO282" s="48"/>
      <c r="AP282" s="48"/>
      <c r="AQ282" s="48"/>
      <c r="AR282" s="48"/>
      <c r="AS282" s="48"/>
      <c r="AT282" s="48"/>
      <c r="AU282" s="48"/>
      <c r="AV282" s="48"/>
      <c r="AW282" s="48"/>
      <c r="AX282" s="48"/>
      <c r="AY282" s="48"/>
      <c r="AZ282" s="48"/>
      <c r="BA282" s="48"/>
      <c r="BB282" s="48"/>
      <c r="BC282" s="48"/>
      <c r="BD282" s="48"/>
      <c r="BE282" s="48"/>
      <c r="BF282" s="48"/>
      <c r="BG282" s="48"/>
      <c r="BH282" s="48"/>
      <c r="BI282" s="48"/>
      <c r="BJ282" s="48"/>
      <c r="BK282" s="48"/>
      <c r="BL282" s="48"/>
      <c r="BM282" s="48"/>
      <c r="BN282" s="48"/>
      <c r="BO282" s="48"/>
      <c r="BP282" s="48"/>
      <c r="BQ282" s="48"/>
      <c r="BR282" s="48"/>
      <c r="BS282" s="48"/>
      <c r="BT282" s="48"/>
      <c r="BU282" s="48"/>
      <c r="BV282" s="48"/>
      <c r="BW282" s="48"/>
      <c r="BX282" s="48"/>
      <c r="BY282" s="48"/>
      <c r="BZ282" s="48"/>
      <c r="CA282" s="48"/>
      <c r="CB282" s="48"/>
      <c r="CC282" s="48"/>
      <c r="CD282" s="48"/>
      <c r="CE282" s="48"/>
      <c r="CF282" s="48"/>
      <c r="CG282" s="48"/>
      <c r="CH282" s="48"/>
      <c r="CI282" s="48"/>
      <c r="CJ282" s="48"/>
      <c r="CK282" s="48"/>
      <c r="CL282" s="48"/>
      <c r="CM282" s="48"/>
      <c r="CN282" s="48"/>
      <c r="CO282" s="48"/>
      <c r="CP282" s="48"/>
      <c r="CQ282" s="48"/>
      <c r="CR282" s="48"/>
      <c r="CS282" s="48"/>
      <c r="CT282" s="48"/>
      <c r="CU282" s="48"/>
      <c r="CV282" s="48"/>
      <c r="CW282" s="48"/>
      <c r="CX282" s="48"/>
      <c r="CY282" s="48"/>
      <c r="CZ282" s="48"/>
      <c r="DA282" s="48"/>
      <c r="DB282" s="48"/>
      <c r="DC282" s="48"/>
      <c r="DD282" s="48"/>
      <c r="DE282" s="48"/>
      <c r="DF282" s="48"/>
      <c r="DG282" s="48"/>
      <c r="DH282" s="48"/>
      <c r="DI282" s="48"/>
      <c r="DJ282" s="48"/>
      <c r="DK282" s="48"/>
      <c r="DL282" s="48"/>
      <c r="DM282" s="48"/>
      <c r="DN282" s="48"/>
      <c r="DO282" s="48"/>
      <c r="DP282" s="48"/>
      <c r="DQ282" s="48"/>
      <c r="DR282" s="48"/>
      <c r="DS282" s="48"/>
      <c r="DT282" s="48"/>
      <c r="DU282" s="48"/>
      <c r="DV282" s="48"/>
      <c r="DW282" s="48"/>
      <c r="DX282" s="48"/>
      <c r="DY282" s="48"/>
      <c r="DZ282" s="48"/>
      <c r="EA282" s="48"/>
      <c r="EB282" s="48"/>
      <c r="EC282" s="48"/>
      <c r="ED282" s="48"/>
      <c r="EE282" s="48"/>
      <c r="EF282" s="48"/>
      <c r="EG282" s="48"/>
      <c r="EH282" s="48"/>
      <c r="EI282" s="48"/>
      <c r="EJ282" s="48"/>
      <c r="EK282" s="48"/>
      <c r="EL282" s="48"/>
      <c r="EM282" s="48"/>
      <c r="EN282" s="48"/>
      <c r="EO282" s="48"/>
      <c r="EP282" s="48"/>
      <c r="EQ282" s="48"/>
      <c r="ER282" s="48"/>
      <c r="ES282" s="48"/>
      <c r="ET282" s="48"/>
      <c r="EU282" s="48"/>
      <c r="EV282" s="48"/>
      <c r="EW282" s="48"/>
      <c r="EX282" s="48"/>
      <c r="EY282" s="48"/>
      <c r="EZ282" s="48"/>
      <c r="FA282" s="48"/>
      <c r="FB282" s="48"/>
      <c r="FC282" s="48"/>
      <c r="FD282" s="48"/>
      <c r="FE282" s="48"/>
      <c r="FF282" s="48"/>
      <c r="FG282" s="48"/>
      <c r="FH282" s="48"/>
      <c r="FI282" s="48"/>
      <c r="FJ282" s="48"/>
      <c r="FK282" s="48"/>
      <c r="FL282" s="48"/>
      <c r="FM282" s="48"/>
      <c r="FN282" s="48"/>
      <c r="FO282" s="48"/>
      <c r="FP282" s="48"/>
      <c r="FQ282" s="48"/>
      <c r="FR282" s="48"/>
      <c r="FS282" s="48"/>
      <c r="FT282" s="48"/>
      <c r="FU282" s="48"/>
      <c r="FV282" s="48"/>
      <c r="FW282" s="48"/>
      <c r="FX282" s="48"/>
      <c r="FY282" s="48"/>
      <c r="FZ282" s="48"/>
      <c r="GA282" s="48"/>
      <c r="GB282" s="48"/>
      <c r="GC282" s="48"/>
      <c r="GD282" s="48"/>
      <c r="GE282" s="48"/>
      <c r="GF282" s="48"/>
      <c r="GG282" s="48"/>
      <c r="GH282" s="48"/>
      <c r="GI282" s="48"/>
      <c r="GJ282" s="48"/>
      <c r="GK282" s="48"/>
      <c r="GL282" s="48"/>
      <c r="GM282" s="48"/>
      <c r="GN282" s="48"/>
      <c r="GO282" s="48"/>
      <c r="GP282" s="48"/>
      <c r="GQ282" s="48"/>
      <c r="GR282" s="48"/>
      <c r="GS282" s="48"/>
      <c r="GT282" s="48"/>
      <c r="GU282" s="48"/>
      <c r="GV282" s="48"/>
      <c r="GW282" s="48"/>
      <c r="GX282" s="48"/>
      <c r="GY282" s="48"/>
      <c r="GZ282" s="48"/>
      <c r="HA282" s="48"/>
      <c r="HB282" s="48"/>
      <c r="HC282" s="48"/>
      <c r="HD282" s="48"/>
      <c r="HE282" s="48"/>
      <c r="HF282" s="48"/>
      <c r="HG282" s="48"/>
      <c r="HH282" s="48"/>
      <c r="HI282" s="48"/>
      <c r="HJ282" s="48"/>
      <c r="HK282" s="48"/>
      <c r="HL282" s="48"/>
      <c r="HM282" s="48"/>
      <c r="HN282" s="48"/>
      <c r="HO282" s="48"/>
      <c r="HP282" s="48"/>
      <c r="HQ282" s="48"/>
      <c r="HR282" s="48"/>
      <c r="HS282" s="48"/>
      <c r="HT282" s="48"/>
      <c r="HU282" s="48"/>
      <c r="HV282" s="48"/>
      <c r="HW282" s="48"/>
      <c r="HX282" s="48"/>
      <c r="HY282" s="48"/>
      <c r="HZ282" s="48"/>
      <c r="IA282" s="48"/>
      <c r="IB282" s="48"/>
      <c r="IC282" s="48"/>
      <c r="ID282" s="48"/>
      <c r="IE282" s="48"/>
      <c r="IF282" s="48"/>
      <c r="IG282" s="48"/>
      <c r="IH282" s="48"/>
      <c r="II282" s="48"/>
      <c r="IJ282" s="48"/>
      <c r="IK282" s="48"/>
      <c r="IL282" s="48"/>
      <c r="IM282" s="48"/>
      <c r="IN282" s="48"/>
      <c r="IO282" s="48"/>
      <c r="IP282" s="48"/>
      <c r="IQ282" s="48"/>
      <c r="IR282" s="48"/>
      <c r="IS282" s="48"/>
      <c r="IT282" s="48"/>
      <c r="IU282" s="48"/>
      <c r="IV282" s="48"/>
      <c r="IW282" s="48"/>
      <c r="IX282" s="48"/>
      <c r="IY282" s="48"/>
      <c r="IZ282" s="48"/>
      <c r="JA282" s="48"/>
      <c r="JB282" s="48"/>
      <c r="JC282" s="48"/>
      <c r="JD282" s="48"/>
      <c r="JE282" s="48"/>
      <c r="JF282" s="48"/>
      <c r="JG282" s="48"/>
      <c r="JH282" s="48"/>
      <c r="JI282" s="48"/>
      <c r="JJ282" s="48"/>
      <c r="JK282" s="48"/>
      <c r="JL282" s="48"/>
      <c r="JM282" s="48"/>
      <c r="JN282" s="48"/>
      <c r="JO282" s="48"/>
      <c r="JP282" s="48"/>
      <c r="JQ282" s="48"/>
      <c r="JR282" s="48"/>
      <c r="JS282" s="48"/>
      <c r="JT282" s="48"/>
      <c r="JU282" s="48"/>
      <c r="JV282" s="48"/>
      <c r="JW282" s="48"/>
      <c r="JX282" s="48"/>
      <c r="JY282" s="48"/>
      <c r="JZ282" s="48"/>
      <c r="KA282" s="48"/>
      <c r="KB282" s="48"/>
      <c r="KC282" s="48"/>
      <c r="KD282" s="48"/>
      <c r="KE282" s="48"/>
      <c r="KF282" s="48"/>
      <c r="KG282" s="48"/>
      <c r="KH282" s="48"/>
      <c r="KI282" s="48"/>
      <c r="KJ282" s="48"/>
      <c r="KK282" s="48"/>
      <c r="KL282" s="48"/>
      <c r="KM282" s="48"/>
      <c r="KN282" s="48"/>
      <c r="KO282" s="48"/>
      <c r="KP282" s="48"/>
      <c r="KQ282" s="48"/>
      <c r="KR282" s="48"/>
      <c r="KS282" s="48"/>
      <c r="KT282" s="48"/>
      <c r="KU282" s="48"/>
      <c r="KV282" s="48"/>
      <c r="KW282" s="48"/>
      <c r="KX282" s="48"/>
      <c r="KY282" s="48"/>
      <c r="KZ282" s="48"/>
      <c r="LA282" s="48"/>
      <c r="LB282" s="48"/>
      <c r="LC282" s="48"/>
      <c r="LD282" s="48"/>
      <c r="LE282" s="48"/>
      <c r="LF282" s="48"/>
      <c r="LG282" s="48"/>
      <c r="LH282" s="48"/>
      <c r="LI282" s="48"/>
      <c r="LJ282" s="48"/>
      <c r="LK282" s="48"/>
      <c r="LL282" s="48"/>
      <c r="LM282" s="48"/>
      <c r="LN282" s="48"/>
      <c r="LO282" s="48"/>
      <c r="LP282" s="48"/>
      <c r="LQ282" s="48"/>
      <c r="LR282" s="48"/>
      <c r="LS282" s="48"/>
      <c r="LT282" s="48"/>
      <c r="LU282" s="48"/>
      <c r="LV282" s="48"/>
      <c r="LW282" s="48"/>
      <c r="LX282" s="48"/>
      <c r="LY282" s="48"/>
      <c r="LZ282" s="48"/>
      <c r="MA282" s="48"/>
      <c r="MB282" s="48"/>
      <c r="MC282" s="48"/>
      <c r="MD282" s="48"/>
      <c r="ME282" s="48"/>
      <c r="MF282" s="48"/>
      <c r="MG282" s="48"/>
      <c r="MH282" s="48"/>
      <c r="MI282" s="48"/>
      <c r="MJ282" s="48"/>
      <c r="MK282" s="48"/>
      <c r="ML282" s="48"/>
      <c r="MM282" s="48"/>
      <c r="MN282" s="48"/>
      <c r="MO282" s="48"/>
      <c r="MP282" s="48"/>
      <c r="MQ282" s="48"/>
      <c r="MR282" s="48"/>
      <c r="MS282" s="48"/>
      <c r="MT282" s="48"/>
      <c r="MU282" s="48"/>
      <c r="MV282" s="48"/>
      <c r="MW282" s="48"/>
      <c r="MX282" s="48"/>
      <c r="MY282" s="48"/>
      <c r="MZ282" s="48"/>
      <c r="NA282" s="48"/>
      <c r="NB282" s="48"/>
      <c r="NC282" s="48"/>
      <c r="ND282" s="48"/>
      <c r="NE282" s="48"/>
      <c r="NF282" s="48"/>
      <c r="NG282" s="48"/>
      <c r="NH282" s="48"/>
      <c r="NI282" s="48"/>
      <c r="NJ282" s="48"/>
      <c r="NK282" s="48"/>
      <c r="NL282" s="48"/>
      <c r="NM282" s="48"/>
      <c r="NN282" s="48"/>
      <c r="NO282" s="48"/>
      <c r="NP282" s="48"/>
      <c r="NQ282" s="48"/>
      <c r="NR282" s="48"/>
      <c r="NS282" s="48"/>
      <c r="NT282" s="48"/>
      <c r="NU282" s="48"/>
      <c r="NV282" s="48"/>
      <c r="NW282" s="48"/>
      <c r="NX282" s="48"/>
      <c r="NY282" s="48"/>
      <c r="NZ282" s="48"/>
      <c r="OA282" s="48"/>
      <c r="OB282" s="48"/>
      <c r="OC282" s="48"/>
      <c r="OD282" s="48"/>
      <c r="OE282" s="48"/>
      <c r="OF282" s="48"/>
      <c r="OG282" s="48"/>
      <c r="OH282" s="48"/>
      <c r="OI282" s="48"/>
      <c r="OJ282" s="48"/>
      <c r="OK282" s="48"/>
      <c r="OL282" s="48"/>
      <c r="OM282" s="48"/>
      <c r="ON282" s="48"/>
      <c r="OO282" s="48"/>
      <c r="OP282" s="48"/>
      <c r="OQ282" s="48"/>
      <c r="OR282" s="48"/>
      <c r="OS282" s="48"/>
      <c r="OT282" s="48"/>
      <c r="OU282" s="48"/>
      <c r="OV282" s="48"/>
      <c r="OW282" s="48"/>
      <c r="OX282" s="48"/>
      <c r="OY282" s="48"/>
      <c r="OZ282" s="48"/>
      <c r="PA282" s="48"/>
      <c r="PB282" s="48"/>
      <c r="PC282" s="48"/>
      <c r="PD282" s="48"/>
      <c r="PE282" s="48"/>
      <c r="PF282" s="48"/>
      <c r="PG282" s="48"/>
      <c r="PH282" s="48"/>
      <c r="PI282" s="48"/>
      <c r="PJ282" s="48"/>
      <c r="PK282" s="48"/>
      <c r="PL282" s="48"/>
      <c r="PM282" s="48"/>
      <c r="PN282" s="48"/>
      <c r="PO282" s="48"/>
      <c r="PP282" s="48"/>
      <c r="PQ282" s="48"/>
      <c r="PR282" s="48"/>
      <c r="PS282" s="48"/>
      <c r="PT282" s="48"/>
      <c r="PU282" s="48"/>
      <c r="PV282" s="48"/>
      <c r="PW282" s="48"/>
      <c r="PX282" s="48"/>
      <c r="PY282" s="48"/>
      <c r="PZ282" s="48"/>
      <c r="QA282" s="48"/>
      <c r="QB282" s="48"/>
      <c r="QC282" s="48"/>
      <c r="QD282" s="48"/>
      <c r="QE282" s="48"/>
      <c r="QF282" s="48"/>
      <c r="QG282" s="48"/>
      <c r="QH282" s="48"/>
      <c r="QI282" s="48"/>
      <c r="QJ282" s="48"/>
      <c r="QK282" s="48"/>
      <c r="QL282" s="48"/>
      <c r="QM282" s="48"/>
      <c r="QN282" s="48"/>
      <c r="QO282" s="48"/>
      <c r="QP282" s="48"/>
      <c r="QQ282" s="48"/>
      <c r="QR282" s="48"/>
      <c r="QS282" s="48"/>
      <c r="QT282" s="48"/>
      <c r="QU282" s="48"/>
      <c r="QV282" s="48"/>
      <c r="QW282" s="48"/>
      <c r="QX282" s="48"/>
      <c r="QY282" s="48"/>
      <c r="QZ282" s="48"/>
      <c r="RA282" s="48"/>
      <c r="RB282" s="48"/>
      <c r="RC282" s="48"/>
      <c r="RD282" s="48"/>
      <c r="RE282" s="48"/>
      <c r="RF282" s="48"/>
      <c r="RG282" s="48"/>
      <c r="RH282" s="48"/>
      <c r="RI282" s="48"/>
      <c r="RJ282" s="48"/>
      <c r="RK282" s="48"/>
      <c r="RL282" s="48"/>
      <c r="RM282" s="48"/>
      <c r="RN282" s="48"/>
      <c r="RO282" s="48"/>
      <c r="RP282" s="48"/>
      <c r="RQ282" s="48"/>
      <c r="RR282" s="48"/>
      <c r="RS282" s="48"/>
      <c r="RT282" s="48"/>
      <c r="RU282" s="48"/>
      <c r="RV282" s="48"/>
      <c r="RW282" s="48"/>
      <c r="RX282" s="48"/>
      <c r="RY282" s="48"/>
      <c r="RZ282" s="48"/>
      <c r="SA282" s="48"/>
      <c r="SB282" s="48"/>
      <c r="SC282" s="48"/>
      <c r="SD282" s="48"/>
      <c r="SE282" s="48"/>
      <c r="SF282" s="48"/>
      <c r="SG282" s="48"/>
      <c r="SH282" s="48"/>
      <c r="SI282" s="48"/>
      <c r="SJ282" s="48"/>
      <c r="SK282" s="48"/>
      <c r="SL282" s="48"/>
      <c r="SM282" s="48"/>
      <c r="SN282" s="48"/>
      <c r="SO282" s="48"/>
      <c r="SP282" s="48"/>
      <c r="SQ282" s="48"/>
      <c r="SR282" s="48"/>
      <c r="SS282" s="48"/>
      <c r="ST282" s="48"/>
      <c r="SU282" s="48"/>
      <c r="SV282" s="48"/>
      <c r="SW282" s="48"/>
      <c r="SX282" s="48"/>
      <c r="SY282" s="48"/>
      <c r="SZ282" s="48"/>
      <c r="TA282" s="48"/>
      <c r="TB282" s="48"/>
      <c r="TC282" s="48"/>
      <c r="TD282" s="48"/>
      <c r="TE282" s="48"/>
      <c r="TF282" s="48"/>
      <c r="TG282" s="48"/>
      <c r="TH282" s="48"/>
      <c r="TI282" s="48"/>
      <c r="TJ282" s="48"/>
      <c r="TK282" s="48"/>
      <c r="TL282" s="48"/>
      <c r="TM282" s="48"/>
      <c r="TN282" s="48"/>
      <c r="TO282" s="48"/>
      <c r="TP282" s="48"/>
      <c r="TQ282" s="48"/>
      <c r="TR282" s="48"/>
      <c r="TS282" s="48"/>
      <c r="TT282" s="48"/>
      <c r="TU282" s="48"/>
      <c r="TV282" s="48"/>
      <c r="TW282" s="48"/>
      <c r="TX282" s="48"/>
      <c r="TY282" s="48"/>
      <c r="TZ282" s="48"/>
      <c r="UA282" s="48"/>
      <c r="UB282" s="48"/>
      <c r="UC282" s="48"/>
      <c r="UD282" s="48"/>
      <c r="UE282" s="48"/>
      <c r="UF282" s="48"/>
      <c r="UG282" s="48"/>
      <c r="UH282" s="48"/>
      <c r="UI282" s="48"/>
      <c r="UJ282" s="48"/>
      <c r="UK282" s="48"/>
      <c r="UL282" s="48"/>
      <c r="UM282" s="48"/>
      <c r="UN282" s="48"/>
      <c r="UO282" s="48"/>
      <c r="UP282" s="48"/>
      <c r="UQ282" s="48"/>
      <c r="UR282" s="48"/>
      <c r="US282" s="48"/>
      <c r="UT282" s="48"/>
      <c r="UU282" s="48"/>
      <c r="UV282" s="48"/>
      <c r="UW282" s="48"/>
      <c r="UX282" s="48"/>
      <c r="UY282" s="48"/>
      <c r="UZ282" s="48"/>
      <c r="VA282" s="48"/>
      <c r="VB282" s="48"/>
      <c r="VC282" s="48"/>
      <c r="VD282" s="48"/>
      <c r="VE282" s="48"/>
      <c r="VF282" s="48"/>
      <c r="VG282" s="48"/>
      <c r="VH282" s="48"/>
      <c r="VI282" s="48"/>
      <c r="VJ282" s="48"/>
      <c r="VK282" s="48"/>
      <c r="VL282" s="48"/>
      <c r="VM282" s="48"/>
      <c r="VN282" s="48"/>
      <c r="VO282" s="48"/>
      <c r="VP282" s="48"/>
      <c r="VQ282" s="48"/>
      <c r="VR282" s="48"/>
      <c r="VS282" s="48"/>
      <c r="VT282" s="48"/>
      <c r="VU282" s="48"/>
      <c r="VV282" s="48"/>
      <c r="VW282" s="48"/>
      <c r="VX282" s="48"/>
      <c r="VY282" s="48"/>
      <c r="VZ282" s="48"/>
      <c r="WA282" s="48"/>
      <c r="WB282" s="48"/>
      <c r="WC282" s="48"/>
      <c r="WD282" s="48"/>
      <c r="WE282" s="48"/>
      <c r="WF282" s="48"/>
      <c r="WG282" s="48"/>
      <c r="WH282" s="48"/>
      <c r="WI282" s="48"/>
      <c r="WJ282" s="48"/>
      <c r="WK282" s="48"/>
      <c r="WL282" s="48"/>
      <c r="WM282" s="48"/>
      <c r="WN282" s="48"/>
      <c r="WO282" s="48"/>
      <c r="WP282" s="48"/>
      <c r="WQ282" s="48"/>
      <c r="WR282" s="48"/>
      <c r="WS282" s="48"/>
      <c r="WT282" s="48"/>
      <c r="WU282" s="48"/>
      <c r="WV282" s="48"/>
      <c r="WW282" s="48"/>
      <c r="WX282" s="48"/>
      <c r="WY282" s="48"/>
      <c r="WZ282" s="48"/>
      <c r="XA282" s="48"/>
      <c r="XB282" s="48"/>
      <c r="XC282" s="48"/>
      <c r="XD282" s="48"/>
      <c r="XE282" s="48"/>
      <c r="XF282" s="48"/>
      <c r="XG282" s="48"/>
      <c r="XH282" s="48"/>
      <c r="XI282" s="48"/>
      <c r="XJ282" s="48"/>
      <c r="XK282" s="48"/>
      <c r="XL282" s="48"/>
      <c r="XM282" s="48"/>
      <c r="XN282" s="48"/>
      <c r="XO282" s="48"/>
      <c r="XP282" s="48"/>
      <c r="XQ282" s="48"/>
      <c r="XR282" s="48"/>
      <c r="XS282" s="48"/>
      <c r="XT282" s="48"/>
      <c r="XU282" s="48"/>
      <c r="XV282" s="48"/>
      <c r="XW282" s="48"/>
      <c r="XX282" s="48"/>
      <c r="XY282" s="48"/>
      <c r="XZ282" s="48"/>
      <c r="YA282" s="48"/>
      <c r="YB282" s="48"/>
      <c r="YC282" s="48"/>
      <c r="YD282" s="48"/>
      <c r="YE282" s="48"/>
      <c r="YF282" s="48"/>
      <c r="YG282" s="48"/>
      <c r="YH282" s="48"/>
      <c r="YI282" s="48"/>
      <c r="YJ282" s="48"/>
      <c r="YK282" s="48"/>
      <c r="YL282" s="48"/>
      <c r="YM282" s="48"/>
      <c r="YN282" s="48"/>
      <c r="YO282" s="48"/>
      <c r="YP282" s="48"/>
      <c r="YQ282" s="48"/>
      <c r="YR282" s="48"/>
      <c r="YS282" s="48"/>
      <c r="YT282" s="48"/>
      <c r="YU282" s="48"/>
      <c r="YV282" s="48"/>
      <c r="YW282" s="48"/>
      <c r="YX282" s="48"/>
      <c r="YY282" s="48"/>
      <c r="YZ282" s="48"/>
      <c r="ZA282" s="48"/>
      <c r="ZB282" s="48"/>
      <c r="ZC282" s="48"/>
      <c r="ZD282" s="48"/>
      <c r="ZE282" s="48"/>
      <c r="ZF282" s="48"/>
      <c r="ZG282" s="48"/>
      <c r="ZH282" s="48"/>
      <c r="ZI282" s="48"/>
      <c r="ZJ282" s="48"/>
      <c r="ZK282" s="48"/>
      <c r="ZL282" s="48"/>
      <c r="ZM282" s="48"/>
      <c r="ZN282" s="48"/>
      <c r="ZO282" s="48"/>
      <c r="ZP282" s="48"/>
      <c r="ZQ282" s="48"/>
      <c r="ZR282" s="48"/>
      <c r="ZS282" s="48"/>
      <c r="ZT282" s="48"/>
      <c r="ZU282" s="48"/>
      <c r="ZV282" s="48"/>
      <c r="ZW282" s="48"/>
      <c r="ZX282" s="48"/>
      <c r="ZY282" s="48"/>
      <c r="ZZ282" s="48"/>
      <c r="AAA282" s="48"/>
      <c r="AAB282" s="48"/>
      <c r="AAC282" s="48"/>
      <c r="AAD282" s="48"/>
      <c r="AAE282" s="48"/>
      <c r="AAF282" s="48"/>
      <c r="AAG282" s="48"/>
      <c r="AAH282" s="48"/>
      <c r="AAI282" s="48"/>
      <c r="AAJ282" s="48"/>
      <c r="AAK282" s="48"/>
      <c r="AAL282" s="48"/>
      <c r="AAM282" s="48"/>
      <c r="AAN282" s="48"/>
      <c r="AAO282" s="48"/>
      <c r="AAP282" s="48"/>
      <c r="AAQ282" s="48"/>
      <c r="AAR282" s="48"/>
      <c r="AAS282" s="48"/>
      <c r="AAT282" s="48"/>
      <c r="AAU282" s="48"/>
      <c r="AAV282" s="48"/>
      <c r="AAW282" s="48"/>
      <c r="AAX282" s="48"/>
      <c r="AAY282" s="48"/>
      <c r="AAZ282" s="48"/>
      <c r="ABA282" s="48"/>
      <c r="ABB282" s="48"/>
      <c r="ABC282" s="48"/>
      <c r="ABD282" s="48"/>
      <c r="ABE282" s="48"/>
      <c r="ABF282" s="48"/>
      <c r="ABG282" s="48"/>
      <c r="ABH282" s="48"/>
      <c r="ABI282" s="48"/>
      <c r="ABJ282" s="48"/>
      <c r="ABK282" s="48"/>
      <c r="ABL282" s="48"/>
      <c r="ABM282" s="48"/>
      <c r="ABN282" s="48"/>
      <c r="ABO282" s="48"/>
      <c r="ABP282" s="48"/>
      <c r="ABQ282" s="48"/>
      <c r="ABR282" s="48"/>
      <c r="ABS282" s="48"/>
      <c r="ABT282" s="48"/>
      <c r="ABU282" s="48"/>
      <c r="ABV282" s="48"/>
      <c r="ABW282" s="48"/>
      <c r="ABX282" s="48"/>
      <c r="ABY282" s="48"/>
      <c r="ABZ282" s="48"/>
      <c r="ACA282" s="48"/>
      <c r="ACB282" s="48"/>
      <c r="ACC282" s="48"/>
      <c r="ACD282" s="48"/>
      <c r="ACE282" s="48"/>
      <c r="ACF282" s="48"/>
      <c r="ACG282" s="48"/>
      <c r="ACH282" s="48"/>
      <c r="ACI282" s="48"/>
      <c r="ACJ282" s="48"/>
      <c r="ACK282" s="48"/>
      <c r="ACL282" s="48"/>
      <c r="ACM282" s="48"/>
      <c r="ACN282" s="48"/>
      <c r="ACO282" s="48"/>
      <c r="ACP282" s="48"/>
      <c r="ACQ282" s="48"/>
      <c r="ACR282" s="48"/>
      <c r="ACS282" s="48"/>
      <c r="ACT282" s="48"/>
      <c r="ACU282" s="48"/>
      <c r="ACV282" s="48"/>
      <c r="ACW282" s="48"/>
      <c r="ACX282" s="48"/>
      <c r="ACY282" s="48"/>
      <c r="ACZ282" s="48"/>
      <c r="ADA282" s="48"/>
      <c r="ADB282" s="48"/>
      <c r="ADC282" s="48"/>
      <c r="ADD282" s="48"/>
      <c r="ADE282" s="48"/>
      <c r="ADF282" s="48"/>
      <c r="ADG282" s="48"/>
      <c r="ADH282" s="48"/>
      <c r="ADI282" s="48"/>
      <c r="ADJ282" s="48"/>
      <c r="ADK282" s="48"/>
      <c r="ADL282" s="48"/>
      <c r="ADM282" s="48"/>
      <c r="ADN282" s="48"/>
      <c r="ADO282" s="48"/>
      <c r="ADP282" s="48"/>
      <c r="ADQ282" s="48"/>
      <c r="ADR282" s="48"/>
      <c r="ADS282" s="48"/>
      <c r="ADT282" s="48"/>
      <c r="ADU282" s="48"/>
      <c r="ADV282" s="48"/>
      <c r="ADW282" s="48"/>
      <c r="ADX282" s="48"/>
      <c r="ADY282" s="48"/>
      <c r="ADZ282" s="48"/>
      <c r="AEA282" s="48"/>
      <c r="AEB282" s="48"/>
      <c r="AEC282" s="48"/>
      <c r="AED282" s="48"/>
      <c r="AEE282" s="48"/>
      <c r="AEF282" s="48"/>
      <c r="AEG282" s="48"/>
      <c r="AEH282" s="48"/>
      <c r="AEI282" s="48"/>
      <c r="AEJ282" s="48"/>
      <c r="AEK282" s="48"/>
      <c r="AEL282" s="48"/>
      <c r="AEM282" s="48"/>
      <c r="AEN282" s="48"/>
      <c r="AEO282" s="48"/>
      <c r="AEP282" s="48"/>
      <c r="AEQ282" s="48"/>
      <c r="AER282" s="48"/>
      <c r="AES282" s="48"/>
      <c r="AET282" s="48"/>
      <c r="AEU282" s="48"/>
      <c r="AEV282" s="48"/>
      <c r="AEW282" s="48"/>
      <c r="AEX282" s="48"/>
      <c r="AEY282" s="48"/>
      <c r="AEZ282" s="48"/>
      <c r="AFA282" s="48"/>
      <c r="AFB282" s="48"/>
      <c r="AFC282" s="48"/>
      <c r="AFD282" s="48"/>
      <c r="AFE282" s="48"/>
      <c r="AFF282" s="48"/>
      <c r="AFG282" s="48"/>
      <c r="AFH282" s="48"/>
      <c r="AFI282" s="48"/>
      <c r="AFJ282" s="48"/>
      <c r="AFK282" s="48"/>
      <c r="AFL282" s="48"/>
      <c r="AFM282" s="48"/>
      <c r="AFN282" s="48"/>
      <c r="AFO282" s="48"/>
      <c r="AFP282" s="48"/>
      <c r="AFQ282" s="48"/>
      <c r="AFR282" s="48"/>
      <c r="AFS282" s="48"/>
      <c r="AFT282" s="48"/>
      <c r="AFU282" s="48"/>
      <c r="AFV282" s="48"/>
      <c r="AFW282" s="48"/>
      <c r="AFX282" s="48"/>
      <c r="AFY282" s="48"/>
      <c r="AFZ282" s="48"/>
      <c r="AGA282" s="48"/>
      <c r="AGB282" s="48"/>
      <c r="AGC282" s="48"/>
      <c r="AGD282" s="48"/>
      <c r="AGE282" s="48"/>
      <c r="AGF282" s="48"/>
      <c r="AGG282" s="48"/>
      <c r="AGH282" s="48"/>
      <c r="AGI282" s="48"/>
      <c r="AGJ282" s="48"/>
      <c r="AGK282" s="48"/>
      <c r="AGL282" s="48"/>
      <c r="AGM282" s="48"/>
      <c r="AGN282" s="48"/>
      <c r="AGO282" s="48"/>
      <c r="AGP282" s="48"/>
      <c r="AGQ282" s="48"/>
      <c r="AGR282" s="48"/>
      <c r="AGS282" s="48"/>
      <c r="AGT282" s="48"/>
      <c r="AGU282" s="48"/>
      <c r="AGV282" s="48"/>
      <c r="AGW282" s="48"/>
      <c r="AGX282" s="48"/>
      <c r="AGY282" s="48"/>
      <c r="AGZ282" s="48"/>
      <c r="AHA282" s="48"/>
      <c r="AHB282" s="48"/>
      <c r="AHC282" s="48"/>
      <c r="AHD282" s="48"/>
      <c r="AHE282" s="48"/>
      <c r="AHF282" s="48"/>
      <c r="AHG282" s="48"/>
      <c r="AHH282" s="48"/>
      <c r="AHI282" s="48"/>
      <c r="AHJ282" s="48"/>
      <c r="AHK282" s="48"/>
      <c r="AHL282" s="48"/>
      <c r="AHM282" s="48"/>
      <c r="AHN282" s="48"/>
      <c r="AHO282" s="48"/>
      <c r="AHP282" s="48"/>
      <c r="AHQ282" s="48"/>
      <c r="AHR282" s="48"/>
      <c r="AHS282" s="48"/>
      <c r="AHT282" s="48"/>
      <c r="AHU282" s="48"/>
      <c r="AHV282" s="48"/>
      <c r="AHW282" s="48"/>
      <c r="AHX282" s="48"/>
      <c r="AHY282" s="48"/>
      <c r="AHZ282" s="48"/>
      <c r="AIA282" s="48"/>
      <c r="AIB282" s="48"/>
      <c r="AIC282" s="48"/>
      <c r="AID282" s="48"/>
      <c r="AIE282" s="48"/>
      <c r="AIF282" s="48"/>
      <c r="AIG282" s="48"/>
      <c r="AIH282" s="48"/>
      <c r="AII282" s="48"/>
      <c r="AIJ282" s="48"/>
      <c r="AIK282" s="48"/>
      <c r="AIL282" s="48"/>
      <c r="AIM282" s="48"/>
      <c r="AIN282" s="48"/>
      <c r="AIO282" s="48"/>
      <c r="AIP282" s="48"/>
      <c r="AIQ282" s="48"/>
      <c r="AIR282" s="48"/>
      <c r="AIS282" s="48"/>
      <c r="AIT282" s="48"/>
      <c r="AIU282" s="48"/>
      <c r="AIV282" s="48"/>
      <c r="AIW282" s="48"/>
      <c r="AIX282" s="48"/>
      <c r="AIY282" s="48"/>
      <c r="AIZ282" s="48"/>
      <c r="AJA282" s="48"/>
      <c r="AJB282" s="48"/>
      <c r="AJC282" s="48"/>
      <c r="AJD282" s="48"/>
      <c r="AJE282" s="48"/>
      <c r="AJF282" s="48"/>
      <c r="AJG282" s="48"/>
      <c r="AJH282" s="48"/>
      <c r="AJI282" s="48"/>
      <c r="AJJ282" s="48"/>
      <c r="AJK282" s="48"/>
      <c r="AJL282" s="48"/>
      <c r="AJM282" s="48"/>
      <c r="AJN282" s="48"/>
      <c r="AJO282" s="48"/>
      <c r="AJP282" s="48"/>
      <c r="AJQ282" s="48"/>
      <c r="AJR282" s="48"/>
      <c r="AJS282" s="48"/>
      <c r="AJT282" s="48"/>
      <c r="AJU282" s="48"/>
      <c r="AJV282" s="48"/>
      <c r="AJW282" s="48"/>
      <c r="AJX282" s="48"/>
      <c r="AJY282" s="48"/>
      <c r="AJZ282" s="48"/>
      <c r="AKA282" s="48"/>
      <c r="AKB282" s="48"/>
      <c r="AKC282" s="48"/>
      <c r="AKD282" s="48"/>
      <c r="AKE282" s="48"/>
      <c r="AKF282" s="48"/>
      <c r="AKG282" s="48"/>
      <c r="AKH282" s="48"/>
      <c r="AKI282" s="48"/>
      <c r="AKJ282" s="48"/>
      <c r="AKK282" s="48"/>
      <c r="AKL282" s="48"/>
      <c r="AKM282" s="48"/>
      <c r="AKN282" s="48"/>
      <c r="AKO282" s="48"/>
      <c r="AKP282" s="48"/>
      <c r="AKQ282" s="48"/>
      <c r="AKR282" s="48"/>
      <c r="AKS282" s="48"/>
      <c r="AKT282" s="48"/>
      <c r="AKU282" s="48"/>
      <c r="AKV282" s="48"/>
      <c r="AKW282" s="48"/>
      <c r="AKX282" s="48"/>
      <c r="AKY282" s="48"/>
      <c r="AKZ282" s="48"/>
      <c r="ALA282" s="48"/>
      <c r="ALB282" s="48"/>
      <c r="ALC282" s="48"/>
      <c r="ALD282" s="48"/>
      <c r="ALE282" s="48"/>
      <c r="ALF282" s="48"/>
      <c r="ALG282" s="48"/>
      <c r="ALH282" s="48"/>
      <c r="ALI282" s="48"/>
      <c r="ALJ282" s="48"/>
      <c r="ALK282" s="48"/>
      <c r="ALL282" s="48"/>
      <c r="ALM282" s="48"/>
      <c r="ALN282" s="48"/>
      <c r="ALO282" s="48"/>
      <c r="ALP282" s="48"/>
      <c r="ALQ282" s="48"/>
      <c r="ALR282" s="48"/>
      <c r="ALS282" s="48"/>
      <c r="ALT282" s="48"/>
      <c r="ALU282" s="48"/>
      <c r="ALV282" s="48"/>
      <c r="ALW282" s="48"/>
      <c r="ALX282" s="48"/>
      <c r="ALY282" s="48"/>
      <c r="ALZ282" s="48"/>
    </row>
  </sheetData>
  <sheetProtection sheet="1" objects="1" scenarios="1"/>
  <dataConsolidate/>
  <mergeCells count="272">
    <mergeCell ref="C1:N1"/>
    <mergeCell ref="D21:F21"/>
    <mergeCell ref="K23:M23"/>
    <mergeCell ref="K24:M24"/>
    <mergeCell ref="D23:J23"/>
    <mergeCell ref="D24:J24"/>
    <mergeCell ref="D27:F27"/>
    <mergeCell ref="K27:M27"/>
    <mergeCell ref="G27:J27"/>
    <mergeCell ref="G13:M19"/>
    <mergeCell ref="D3:M11"/>
    <mergeCell ref="D38:M43"/>
    <mergeCell ref="D32:E32"/>
    <mergeCell ref="E69:F69"/>
    <mergeCell ref="E70:F70"/>
    <mergeCell ref="E71:F71"/>
    <mergeCell ref="E72:F72"/>
    <mergeCell ref="E73:F73"/>
    <mergeCell ref="E65:F65"/>
    <mergeCell ref="E66:F66"/>
    <mergeCell ref="E67:F67"/>
    <mergeCell ref="E68:F68"/>
    <mergeCell ref="G21:M21"/>
    <mergeCell ref="J34:K34"/>
    <mergeCell ref="L34:M34"/>
    <mergeCell ref="D35:E35"/>
    <mergeCell ref="F35:G35"/>
    <mergeCell ref="H35:I35"/>
    <mergeCell ref="J35:K35"/>
    <mergeCell ref="L35:M35"/>
    <mergeCell ref="D26:F26"/>
    <mergeCell ref="G26:J26"/>
    <mergeCell ref="K26:M26"/>
    <mergeCell ref="L31:M31"/>
    <mergeCell ref="E74:F74"/>
    <mergeCell ref="E75:F75"/>
    <mergeCell ref="E76:F76"/>
    <mergeCell ref="E77:F77"/>
    <mergeCell ref="E78:F78"/>
    <mergeCell ref="E64:F64"/>
    <mergeCell ref="E63:F63"/>
    <mergeCell ref="E84:F84"/>
    <mergeCell ref="E85:F85"/>
    <mergeCell ref="E86:F86"/>
    <mergeCell ref="E87:F87"/>
    <mergeCell ref="E88:F88"/>
    <mergeCell ref="E79:F79"/>
    <mergeCell ref="E80:F80"/>
    <mergeCell ref="E81:F81"/>
    <mergeCell ref="E82:F82"/>
    <mergeCell ref="E83:F83"/>
    <mergeCell ref="E94:F94"/>
    <mergeCell ref="E95:F95"/>
    <mergeCell ref="E96:F96"/>
    <mergeCell ref="E97:F97"/>
    <mergeCell ref="E98:F98"/>
    <mergeCell ref="E89:F89"/>
    <mergeCell ref="E90:F90"/>
    <mergeCell ref="E91:F91"/>
    <mergeCell ref="E92:F92"/>
    <mergeCell ref="E93:F93"/>
    <mergeCell ref="E104:F104"/>
    <mergeCell ref="E105:F105"/>
    <mergeCell ref="E106:F106"/>
    <mergeCell ref="E107:F107"/>
    <mergeCell ref="E108:F108"/>
    <mergeCell ref="E99:F99"/>
    <mergeCell ref="E100:F100"/>
    <mergeCell ref="E101:F101"/>
    <mergeCell ref="E102:F102"/>
    <mergeCell ref="E103:F103"/>
    <mergeCell ref="E114:F114"/>
    <mergeCell ref="E115:F115"/>
    <mergeCell ref="E116:F116"/>
    <mergeCell ref="E117:F117"/>
    <mergeCell ref="E118:F118"/>
    <mergeCell ref="E109:F109"/>
    <mergeCell ref="E110:F110"/>
    <mergeCell ref="E111:F111"/>
    <mergeCell ref="E112:F112"/>
    <mergeCell ref="E113:F113"/>
    <mergeCell ref="E124:F124"/>
    <mergeCell ref="E125:F125"/>
    <mergeCell ref="E126:F126"/>
    <mergeCell ref="E127:F127"/>
    <mergeCell ref="E128:F128"/>
    <mergeCell ref="E119:F119"/>
    <mergeCell ref="E120:F120"/>
    <mergeCell ref="E121:F121"/>
    <mergeCell ref="E122:F122"/>
    <mergeCell ref="E123:F123"/>
    <mergeCell ref="E134:F134"/>
    <mergeCell ref="E135:F135"/>
    <mergeCell ref="E136:F136"/>
    <mergeCell ref="E137:F137"/>
    <mergeCell ref="E138:F138"/>
    <mergeCell ref="E129:F129"/>
    <mergeCell ref="E130:F130"/>
    <mergeCell ref="E131:F131"/>
    <mergeCell ref="E132:F132"/>
    <mergeCell ref="E133:F133"/>
    <mergeCell ref="E144:F144"/>
    <mergeCell ref="E145:F145"/>
    <mergeCell ref="E146:F146"/>
    <mergeCell ref="E147:F147"/>
    <mergeCell ref="E148:F148"/>
    <mergeCell ref="E139:F139"/>
    <mergeCell ref="E140:F140"/>
    <mergeCell ref="E141:F141"/>
    <mergeCell ref="E142:F142"/>
    <mergeCell ref="E143:F143"/>
    <mergeCell ref="E154:F154"/>
    <mergeCell ref="E155:F155"/>
    <mergeCell ref="E156:F156"/>
    <mergeCell ref="E157:F157"/>
    <mergeCell ref="E158:F158"/>
    <mergeCell ref="E149:F149"/>
    <mergeCell ref="E150:F150"/>
    <mergeCell ref="E151:F151"/>
    <mergeCell ref="E152:F152"/>
    <mergeCell ref="E153:F153"/>
    <mergeCell ref="E164:F164"/>
    <mergeCell ref="E165:F165"/>
    <mergeCell ref="E166:F166"/>
    <mergeCell ref="E167:F167"/>
    <mergeCell ref="E168:F168"/>
    <mergeCell ref="E159:F159"/>
    <mergeCell ref="E160:F160"/>
    <mergeCell ref="E161:F161"/>
    <mergeCell ref="E162:F162"/>
    <mergeCell ref="E163:F163"/>
    <mergeCell ref="E174:F174"/>
    <mergeCell ref="E175:F175"/>
    <mergeCell ref="E176:F176"/>
    <mergeCell ref="E177:F177"/>
    <mergeCell ref="E178:F178"/>
    <mergeCell ref="E169:F169"/>
    <mergeCell ref="E170:F170"/>
    <mergeCell ref="E171:F171"/>
    <mergeCell ref="E172:F172"/>
    <mergeCell ref="E173:F173"/>
    <mergeCell ref="E184:F184"/>
    <mergeCell ref="E185:F185"/>
    <mergeCell ref="E186:F186"/>
    <mergeCell ref="E187:F187"/>
    <mergeCell ref="E188:F188"/>
    <mergeCell ref="E179:F179"/>
    <mergeCell ref="E180:F180"/>
    <mergeCell ref="E181:F181"/>
    <mergeCell ref="E182:F182"/>
    <mergeCell ref="E183:F183"/>
    <mergeCell ref="E194:F194"/>
    <mergeCell ref="E195:F195"/>
    <mergeCell ref="E196:F196"/>
    <mergeCell ref="E197:F197"/>
    <mergeCell ref="E198:F198"/>
    <mergeCell ref="E189:F189"/>
    <mergeCell ref="E190:F190"/>
    <mergeCell ref="E191:F191"/>
    <mergeCell ref="E192:F192"/>
    <mergeCell ref="E193:F193"/>
    <mergeCell ref="E204:F204"/>
    <mergeCell ref="E205:F205"/>
    <mergeCell ref="E206:F206"/>
    <mergeCell ref="E207:F207"/>
    <mergeCell ref="E208:F208"/>
    <mergeCell ref="E199:F199"/>
    <mergeCell ref="E200:F200"/>
    <mergeCell ref="E201:F201"/>
    <mergeCell ref="E202:F202"/>
    <mergeCell ref="E203:F203"/>
    <mergeCell ref="E214:F214"/>
    <mergeCell ref="E215:F215"/>
    <mergeCell ref="E216:F216"/>
    <mergeCell ref="E217:F217"/>
    <mergeCell ref="E218:F218"/>
    <mergeCell ref="E209:F209"/>
    <mergeCell ref="E210:F210"/>
    <mergeCell ref="E211:F211"/>
    <mergeCell ref="E212:F212"/>
    <mergeCell ref="E213:F213"/>
    <mergeCell ref="E224:F224"/>
    <mergeCell ref="E225:F225"/>
    <mergeCell ref="E226:F226"/>
    <mergeCell ref="E227:F227"/>
    <mergeCell ref="E228:F228"/>
    <mergeCell ref="E219:F219"/>
    <mergeCell ref="E220:F220"/>
    <mergeCell ref="E221:F221"/>
    <mergeCell ref="E222:F222"/>
    <mergeCell ref="E223:F223"/>
    <mergeCell ref="E234:F234"/>
    <mergeCell ref="E235:F235"/>
    <mergeCell ref="E236:F236"/>
    <mergeCell ref="E237:F237"/>
    <mergeCell ref="E238:F238"/>
    <mergeCell ref="E229:F229"/>
    <mergeCell ref="E230:F230"/>
    <mergeCell ref="E231:F231"/>
    <mergeCell ref="E232:F232"/>
    <mergeCell ref="E233:F233"/>
    <mergeCell ref="E244:F244"/>
    <mergeCell ref="E245:F245"/>
    <mergeCell ref="E246:F246"/>
    <mergeCell ref="E247:F247"/>
    <mergeCell ref="E248:F248"/>
    <mergeCell ref="E239:F239"/>
    <mergeCell ref="E240:F240"/>
    <mergeCell ref="E241:F241"/>
    <mergeCell ref="E242:F242"/>
    <mergeCell ref="E243:F243"/>
    <mergeCell ref="E261:F261"/>
    <mergeCell ref="E262:F262"/>
    <mergeCell ref="E263:F263"/>
    <mergeCell ref="E254:F254"/>
    <mergeCell ref="E255:F255"/>
    <mergeCell ref="E256:F256"/>
    <mergeCell ref="E257:F257"/>
    <mergeCell ref="E258:F258"/>
    <mergeCell ref="E249:F249"/>
    <mergeCell ref="E250:F250"/>
    <mergeCell ref="E251:F251"/>
    <mergeCell ref="E252:F252"/>
    <mergeCell ref="E253:F253"/>
    <mergeCell ref="F33:G33"/>
    <mergeCell ref="H33:I33"/>
    <mergeCell ref="O21:Q21"/>
    <mergeCell ref="E279:F279"/>
    <mergeCell ref="E280:F280"/>
    <mergeCell ref="E281:F281"/>
    <mergeCell ref="E282:F282"/>
    <mergeCell ref="E274:F274"/>
    <mergeCell ref="E275:F275"/>
    <mergeCell ref="E276:F276"/>
    <mergeCell ref="E277:F277"/>
    <mergeCell ref="E278:F278"/>
    <mergeCell ref="E269:F269"/>
    <mergeCell ref="E270:F270"/>
    <mergeCell ref="E271:F271"/>
    <mergeCell ref="E272:F272"/>
    <mergeCell ref="E273:F273"/>
    <mergeCell ref="E264:F264"/>
    <mergeCell ref="E265:F265"/>
    <mergeCell ref="E266:F266"/>
    <mergeCell ref="E267:F267"/>
    <mergeCell ref="E268:F268"/>
    <mergeCell ref="E259:F259"/>
    <mergeCell ref="E260:F260"/>
    <mergeCell ref="H36:I36"/>
    <mergeCell ref="D36:E36"/>
    <mergeCell ref="F36:G36"/>
    <mergeCell ref="L36:M36"/>
    <mergeCell ref="J36:K36"/>
    <mergeCell ref="D29:E30"/>
    <mergeCell ref="F29:G30"/>
    <mergeCell ref="H29:I30"/>
    <mergeCell ref="J29:K30"/>
    <mergeCell ref="L29:M30"/>
    <mergeCell ref="D34:E34"/>
    <mergeCell ref="F34:G34"/>
    <mergeCell ref="H34:I34"/>
    <mergeCell ref="J33:K33"/>
    <mergeCell ref="L33:M33"/>
    <mergeCell ref="J31:K31"/>
    <mergeCell ref="H31:I31"/>
    <mergeCell ref="F31:G31"/>
    <mergeCell ref="D31:E31"/>
    <mergeCell ref="F32:G32"/>
    <mergeCell ref="H32:I32"/>
    <mergeCell ref="J32:K32"/>
    <mergeCell ref="L32:M32"/>
    <mergeCell ref="D33:E33"/>
  </mergeCells>
  <conditionalFormatting sqref="D35">
    <cfRule type="expression" dxfId="15" priority="1609">
      <formula>#REF!&lt;&gt;""</formula>
    </cfRule>
  </conditionalFormatting>
  <conditionalFormatting sqref="D36:D37 D44:D282">
    <cfRule type="expression" dxfId="14" priority="45">
      <formula>$E35&lt;&gt;""</formula>
    </cfRule>
  </conditionalFormatting>
  <conditionalFormatting sqref="D38">
    <cfRule type="expression" dxfId="13" priority="1613">
      <formula>$E36&lt;&gt;""</formula>
    </cfRule>
  </conditionalFormatting>
  <conditionalFormatting sqref="E44:L282 F29 H29 J29 L29 D32:M33 F36:M36 F36:L37 E37">
    <cfRule type="expression" dxfId="12" priority="3">
      <formula>$E28&lt;&gt;""</formula>
    </cfRule>
  </conditionalFormatting>
  <conditionalFormatting sqref="E44:T62">
    <cfRule type="expression" dxfId="11" priority="1">
      <formula>$E43&lt;&gt;""</formula>
    </cfRule>
  </conditionalFormatting>
  <conditionalFormatting sqref="F35 H35:L35">
    <cfRule type="expression" dxfId="10" priority="1611">
      <formula>#REF!&lt;&gt;""</formula>
    </cfRule>
  </conditionalFormatting>
  <conditionalFormatting sqref="M44:M282 M36:M37">
    <cfRule type="expression" dxfId="9" priority="1596">
      <formula>AND($E35&lt;&gt;"",$K$24="Grup empresarial")</formula>
    </cfRule>
  </conditionalFormatting>
  <conditionalFormatting sqref="O21:Q21">
    <cfRule type="expression" dxfId="8" priority="5">
      <formula>K24&lt;&gt;"Grup empresarial"</formula>
    </cfRule>
  </conditionalFormatting>
  <conditionalFormatting sqref="O23:Q23">
    <cfRule type="expression" dxfId="7" priority="8">
      <formula>$K$24="Grup empresarial"</formula>
    </cfRule>
  </conditionalFormatting>
  <conditionalFormatting sqref="O24:Q30 O32:Q33">
    <cfRule type="expression" dxfId="6" priority="1608">
      <formula>AND($O23&lt;&gt;"",$K$24="Grup empresarial")</formula>
    </cfRule>
  </conditionalFormatting>
  <conditionalFormatting sqref="O31:Q31">
    <cfRule type="expression" dxfId="5" priority="1617">
      <formula>AND($O29&lt;&gt;"",$K$24="Grup empresarial")</formula>
    </cfRule>
  </conditionalFormatting>
  <dataValidations count="10">
    <dataValidation operator="equal" allowBlank="1" showInputMessage="1" showErrorMessage="1" sqref="K283:K466" xr:uid="{00000000-0002-0000-0100-000000000000}"/>
    <dataValidation operator="greaterThan" allowBlank="1" showInputMessage="1" error="Aquesta dada ha de ser un valor numèric" sqref="J36:J37 J44:J282 H36:I36" xr:uid="{00000000-0002-0000-0100-000001000000}"/>
    <dataValidation type="list" operator="greaterThan" allowBlank="1" showInputMessage="1" error="Aquesta dada ha de ser un valor numèric" sqref="H44:H282 H37" xr:uid="{00000000-0002-0000-0100-000002000000}">
      <formula1>Illes</formula1>
    </dataValidation>
    <dataValidation type="list" allowBlank="1" showInputMessage="1" showErrorMessage="1" sqref="Q24:Q33" xr:uid="{00000000-0002-0000-0100-000003000000}">
      <formula1>$F$738:$F$740</formula1>
    </dataValidation>
    <dataValidation type="list" allowBlank="1" showInputMessage="1" showErrorMessage="1" sqref="G36:G37 G44:G282" xr:uid="{00000000-0002-0000-0100-000004000000}">
      <formula1>SiNo</formula1>
    </dataValidation>
    <dataValidation type="decimal" allowBlank="1" showInputMessage="1" showErrorMessage="1" error="El valor ha d'estar entre 38 i 41" sqref="K36:K37 K44:K282" xr:uid="{00000000-0002-0000-0100-000005000000}">
      <formula1>38</formula1>
      <formula2>41</formula2>
    </dataValidation>
    <dataValidation type="decimal" allowBlank="1" showInputMessage="1" showErrorMessage="1" error="El valor ha d'estar entre 1 i 5" sqref="L44:L282 L37" xr:uid="{00000000-0002-0000-0100-000006000000}">
      <formula1>1</formula1>
      <formula2>5</formula2>
    </dataValidation>
    <dataValidation type="list" allowBlank="1" showInputMessage="1" showErrorMessage="1" sqref="M44:M282 M37" xr:uid="{00000000-0002-0000-0100-000007000000}">
      <formula1>Empresas</formula1>
    </dataValidation>
    <dataValidation type="list" allowBlank="1" showInputMessage="1" showErrorMessage="1" sqref="P27" xr:uid="{00000000-0002-0000-0100-000008000000}">
      <formula1>Año</formula1>
    </dataValidation>
    <dataValidation type="list" operator="greaterThan" allowBlank="1" showInputMessage="1" error="Aquesta dada ha de ser un valor numèric" sqref="I35:I282" xr:uid="{00000000-0002-0000-0100-000012000000}">
      <formula1>INDIRECT("Illa_"&amp;(IFERROR(VLOOKUP(#REF!,#REF!,2,0),"")))</formula1>
    </dataValidation>
  </dataValidations>
  <hyperlinks>
    <hyperlink ref="A5" location="'2.1 Absorciones árboles'!A1" display="2.1. Cápsula 1.1: Absorciones de los árboles" xr:uid="{00000000-0004-0000-0100-000000000000}"/>
    <hyperlink ref="A7" location="'2.3 Emisiones maquinaria'!A1" display="2.3. Cápsula 2.2: Emisiones de vehículos y maquinaria" xr:uid="{00000000-0004-0000-0100-000001000000}"/>
    <hyperlink ref="A8" location="'2.4 Emisiones quema restos'!A1" display="2.4. Cápsula 2.3: Emisiones de CH4 y N2O por quema" xr:uid="{00000000-0004-0000-0100-000002000000}"/>
    <hyperlink ref="A9" location="'2.5 Emisiones productos'!A1" display="2.5. Cápsula 2.4: Emisiones de los productos madereros" xr:uid="{00000000-0004-0000-0100-000003000000}"/>
    <hyperlink ref="A10" location="'3. Resultados'!A1" display="3. Resultados de absorciones del proyecto" xr:uid="{00000000-0004-0000-0100-000004000000}"/>
    <hyperlink ref="A6" location="'2.2 Emisiones restos corta'!A1" display="2.2. Cápsula 2.1: Emisiones de CO2 por descomposición y quema" xr:uid="{00000000-0004-0000-0100-000005000000}"/>
    <hyperlink ref="A4" location="'1. Datos generales del proyecto'!A1" display="1. Datos del proyecto" xr:uid="{00000000-0004-0000-0100-000006000000}"/>
  </hyperlinks>
  <pageMargins left="0.70833333333333304" right="0.70833333333333304" top="0.74791666666666701" bottom="0.74791666666666701" header="0.51180555555555496" footer="0.51180555555555496"/>
  <pageSetup paperSize="9" scale="10" firstPageNumber="0"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A1:ALR269"/>
  <sheetViews>
    <sheetView zoomScaleNormal="100" workbookViewId="0">
      <pane xSplit="1" topLeftCell="B1" activePane="topRight" state="frozen"/>
      <selection pane="topRight" activeCell="E7" sqref="E7"/>
    </sheetView>
  </sheetViews>
  <sheetFormatPr baseColWidth="10" defaultColWidth="9.140625" defaultRowHeight="15" x14ac:dyDescent="0.25"/>
  <cols>
    <col min="1" max="1" width="55.7109375" style="2" customWidth="1"/>
    <col min="2" max="2" width="2.140625" style="2" customWidth="1"/>
    <col min="3" max="3" width="2.42578125" style="2" customWidth="1"/>
    <col min="4" max="4" width="26.5703125" style="2" customWidth="1"/>
    <col min="5" max="5" width="38.7109375" style="2" customWidth="1"/>
    <col min="6" max="6" width="17.5703125" style="2" customWidth="1"/>
    <col min="7" max="7" width="16.42578125" style="2" customWidth="1"/>
    <col min="8" max="8" width="21.42578125" style="2" customWidth="1"/>
    <col min="9" max="9" width="26.140625" style="2" customWidth="1"/>
    <col min="10" max="10" width="21.140625" style="2" customWidth="1"/>
    <col min="11" max="11" width="26" style="2" customWidth="1"/>
    <col min="12" max="12" width="3.5703125" style="2" customWidth="1"/>
    <col min="13" max="13" width="15.5703125" style="2" customWidth="1"/>
    <col min="14" max="14" width="1.140625" style="2" customWidth="1"/>
    <col min="15" max="15" width="31.7109375" style="2" customWidth="1"/>
    <col min="16" max="1006" width="9.140625" style="2"/>
  </cols>
  <sheetData>
    <row r="1" spans="1:15" ht="40.700000000000003" customHeight="1" x14ac:dyDescent="0.25">
      <c r="B1" s="3"/>
      <c r="C1" s="294" t="s">
        <v>103</v>
      </c>
      <c r="D1" s="295"/>
      <c r="E1" s="295"/>
      <c r="F1" s="295"/>
      <c r="G1" s="295"/>
      <c r="H1" s="295"/>
      <c r="I1" s="295"/>
      <c r="J1" s="295"/>
      <c r="K1" s="295"/>
      <c r="L1" s="295"/>
    </row>
    <row r="2" spans="1:15" ht="24" customHeight="1" x14ac:dyDescent="0.3">
      <c r="B2" s="3"/>
      <c r="H2" s="1"/>
      <c r="I2" s="1"/>
      <c r="J2" s="1"/>
      <c r="K2" s="1"/>
    </row>
    <row r="3" spans="1:15" s="2" customFormat="1" ht="16.5" x14ac:dyDescent="0.25">
      <c r="A3" s="25"/>
      <c r="C3" s="42"/>
      <c r="D3" s="318" t="s">
        <v>104</v>
      </c>
      <c r="E3" s="318"/>
      <c r="F3" s="318"/>
      <c r="G3" s="318"/>
      <c r="H3" s="318"/>
      <c r="I3" s="318"/>
      <c r="J3" s="318"/>
      <c r="K3" s="318"/>
      <c r="M3" s="314"/>
      <c r="N3" s="314"/>
      <c r="O3" s="314"/>
    </row>
    <row r="4" spans="1:15" s="2" customFormat="1" ht="21" customHeight="1" thickBot="1" x14ac:dyDescent="0.35">
      <c r="A4" s="144" t="s">
        <v>85</v>
      </c>
      <c r="C4" s="42"/>
      <c r="D4" s="42"/>
      <c r="E4" s="42"/>
      <c r="F4" s="42"/>
      <c r="G4" s="42"/>
      <c r="H4" s="42"/>
      <c r="I4" s="42"/>
      <c r="J4" s="42"/>
      <c r="K4" s="42"/>
    </row>
    <row r="5" spans="1:15" s="2" customFormat="1" ht="21" customHeight="1" x14ac:dyDescent="0.3">
      <c r="A5" s="144" t="s">
        <v>86</v>
      </c>
      <c r="C5" s="42"/>
      <c r="D5" s="315" t="s">
        <v>67</v>
      </c>
      <c r="E5" s="312" t="s">
        <v>105</v>
      </c>
      <c r="F5" s="312" t="s">
        <v>106</v>
      </c>
      <c r="G5" s="312" t="s">
        <v>101</v>
      </c>
      <c r="H5" s="312" t="s">
        <v>107</v>
      </c>
      <c r="I5" s="312" t="s">
        <v>108</v>
      </c>
      <c r="J5" s="312" t="s">
        <v>109</v>
      </c>
      <c r="K5" s="319"/>
    </row>
    <row r="6" spans="1:15" s="2" customFormat="1" ht="21" customHeight="1" thickBot="1" x14ac:dyDescent="0.4">
      <c r="A6" s="144" t="s">
        <v>266</v>
      </c>
      <c r="C6" s="42"/>
      <c r="D6" s="320"/>
      <c r="E6" s="313"/>
      <c r="F6" s="313"/>
      <c r="G6" s="313"/>
      <c r="H6" s="313"/>
      <c r="I6" s="313"/>
      <c r="J6" s="211" t="s">
        <v>110</v>
      </c>
      <c r="K6" s="194" t="s">
        <v>111</v>
      </c>
    </row>
    <row r="7" spans="1:15" s="2" customFormat="1" ht="16.5" x14ac:dyDescent="0.3">
      <c r="A7" s="144" t="s">
        <v>102</v>
      </c>
      <c r="C7" s="42"/>
      <c r="D7" s="315" t="str">
        <f>IF(('1. Datos generales del proyecto'!D31:E31)="","",('1. Datos generales del proyecto'!D31:E31))</f>
        <v/>
      </c>
      <c r="E7" s="80"/>
      <c r="F7" s="306" t="str">
        <f>IF(E7="","",(IFERROR(((IF('1. Datos generales del proyecto'!$J$31=0,"",'1. Datos generales del proyecto'!$J$31))),"")))</f>
        <v/>
      </c>
      <c r="G7" s="306" t="str">
        <f>IFERROR((IF((F7+H7)&gt;F7,(F7+H7),"")),"")</f>
        <v/>
      </c>
      <c r="H7" s="309"/>
      <c r="I7" s="83"/>
      <c r="J7" s="84" t="str">
        <f>IFERROR((INDEX(Dades_PA!$A$1:$H$32,MATCH('2.1 Absorciones árboles'!E7,Dades_PA!$A$1:$A$32,0),(MATCH('2.1 Absorciones árboles'!$H$7,Dades_PA!$A$5:$H$5,0)))),"")</f>
        <v/>
      </c>
      <c r="K7" s="108" t="str">
        <f>IFERROR(((I7*J7)),"")</f>
        <v/>
      </c>
    </row>
    <row r="8" spans="1:15" s="2" customFormat="1" ht="18" x14ac:dyDescent="0.35">
      <c r="A8" s="144" t="s">
        <v>267</v>
      </c>
      <c r="C8" s="42"/>
      <c r="D8" s="316"/>
      <c r="E8" s="85"/>
      <c r="F8" s="307"/>
      <c r="G8" s="307"/>
      <c r="H8" s="310"/>
      <c r="I8" s="87"/>
      <c r="J8" s="88" t="str">
        <f>IFERROR((INDEX(Dades_PA!$A$1:$H$32,MATCH('2.1 Absorciones árboles'!E8,Dades_PA!$A$1:$A$32,0),(MATCH('2.1 Absorciones árboles'!$H$7,Dades_PA!$A$5:$H$5,0)))),"")</f>
        <v/>
      </c>
      <c r="K8" s="109" t="str">
        <f t="shared" ref="K8:K56" si="0">IFERROR(((I8*J8)),"")</f>
        <v/>
      </c>
    </row>
    <row r="9" spans="1:15" s="2" customFormat="1" ht="16.5" x14ac:dyDescent="0.3">
      <c r="A9" s="144" t="s">
        <v>88</v>
      </c>
      <c r="C9" s="42"/>
      <c r="D9" s="316"/>
      <c r="E9" s="85"/>
      <c r="F9" s="307"/>
      <c r="G9" s="307"/>
      <c r="H9" s="310"/>
      <c r="I9" s="87"/>
      <c r="J9" s="88" t="str">
        <f>IFERROR((INDEX(Dades_PA!$A$1:$H$32,MATCH('2.1 Absorciones árboles'!E9,Dades_PA!$A$1:$A$32,0),(MATCH('2.1 Absorciones árboles'!$H$7,Dades_PA!$A$5:$H$5,0)))),"")</f>
        <v/>
      </c>
      <c r="K9" s="109" t="str">
        <f t="shared" si="0"/>
        <v/>
      </c>
    </row>
    <row r="10" spans="1:15" s="2" customFormat="1" ht="16.5" x14ac:dyDescent="0.3">
      <c r="A10" s="144" t="s">
        <v>89</v>
      </c>
      <c r="C10" s="42"/>
      <c r="D10" s="316"/>
      <c r="E10" s="85"/>
      <c r="F10" s="307"/>
      <c r="G10" s="307"/>
      <c r="H10" s="310"/>
      <c r="I10" s="87"/>
      <c r="J10" s="88" t="str">
        <f>IFERROR((INDEX(Dades_PA!$A$1:$H$32,MATCH('2.1 Absorciones árboles'!E10,Dades_PA!$A$1:$A$32,0),(MATCH('2.1 Absorciones árboles'!$H$7,Dades_PA!$A$5:$H$5,0)))),"")</f>
        <v/>
      </c>
      <c r="K10" s="109" t="str">
        <f t="shared" si="0"/>
        <v/>
      </c>
    </row>
    <row r="11" spans="1:15" s="2" customFormat="1" ht="16.5" x14ac:dyDescent="0.25">
      <c r="A11" s="5"/>
      <c r="C11" s="42"/>
      <c r="D11" s="316"/>
      <c r="E11" s="85"/>
      <c r="F11" s="307"/>
      <c r="G11" s="307"/>
      <c r="H11" s="310"/>
      <c r="I11" s="87"/>
      <c r="J11" s="88" t="str">
        <f>IFERROR((INDEX(Dades_PA!$A$1:$H$32,MATCH('2.1 Absorciones árboles'!E11,Dades_PA!$A$1:$A$32,0),(MATCH('2.1 Absorciones árboles'!$H$7,Dades_PA!$A$5:$H$5,0)))),"")</f>
        <v/>
      </c>
      <c r="K11" s="109" t="str">
        <f t="shared" si="0"/>
        <v/>
      </c>
    </row>
    <row r="12" spans="1:15" s="2" customFormat="1" ht="16.5" x14ac:dyDescent="0.25">
      <c r="A12" s="5"/>
      <c r="C12" s="42"/>
      <c r="D12" s="316"/>
      <c r="E12" s="85"/>
      <c r="F12" s="307"/>
      <c r="G12" s="307"/>
      <c r="H12" s="310"/>
      <c r="I12" s="87"/>
      <c r="J12" s="88" t="str">
        <f>IFERROR((INDEX(Dades_PA!$A$1:$H$32,MATCH('2.1 Absorciones árboles'!E12,Dades_PA!$A$1:$A$32,0),(MATCH('2.1 Absorciones árboles'!$H$7,Dades_PA!$A$5:$H$5,0)))),"")</f>
        <v/>
      </c>
      <c r="K12" s="109" t="str">
        <f t="shared" si="0"/>
        <v/>
      </c>
    </row>
    <row r="13" spans="1:15" s="2" customFormat="1" ht="16.5" x14ac:dyDescent="0.25">
      <c r="A13" s="5"/>
      <c r="C13" s="42"/>
      <c r="D13" s="316"/>
      <c r="E13" s="85"/>
      <c r="F13" s="307"/>
      <c r="G13" s="307"/>
      <c r="H13" s="310"/>
      <c r="I13" s="87"/>
      <c r="J13" s="88" t="str">
        <f>IFERROR((INDEX(Dades_PA!$A$1:$H$32,MATCH('2.1 Absorciones árboles'!E13,Dades_PA!$A$1:$A$32,0),(MATCH('2.1 Absorciones árboles'!$H$7,Dades_PA!$A$5:$H$5,0)))),"")</f>
        <v/>
      </c>
      <c r="K13" s="109" t="str">
        <f t="shared" si="0"/>
        <v/>
      </c>
    </row>
    <row r="14" spans="1:15" s="2" customFormat="1" ht="16.5" x14ac:dyDescent="0.25">
      <c r="C14" s="42"/>
      <c r="D14" s="316"/>
      <c r="E14" s="85"/>
      <c r="F14" s="307"/>
      <c r="G14" s="307"/>
      <c r="H14" s="310"/>
      <c r="I14" s="87"/>
      <c r="J14" s="88" t="str">
        <f>IFERROR((INDEX(Dades_PA!$A$1:$H$32,MATCH('2.1 Absorciones árboles'!E14,Dades_PA!$A$1:$A$32,0),(MATCH('2.1 Absorciones árboles'!$H$7,Dades_PA!$A$5:$H$5,0)))),"")</f>
        <v/>
      </c>
      <c r="K14" s="109" t="str">
        <f t="shared" si="0"/>
        <v/>
      </c>
    </row>
    <row r="15" spans="1:15" s="2" customFormat="1" ht="16.5" x14ac:dyDescent="0.25">
      <c r="C15" s="42"/>
      <c r="D15" s="316"/>
      <c r="E15" s="85"/>
      <c r="F15" s="307"/>
      <c r="G15" s="307"/>
      <c r="H15" s="310"/>
      <c r="I15" s="87"/>
      <c r="J15" s="88" t="str">
        <f>IFERROR((INDEX(Dades_PA!$A$1:$H$32,MATCH('2.1 Absorciones árboles'!E15,Dades_PA!$A$1:$A$32,0),(MATCH('2.1 Absorciones árboles'!$H$7,Dades_PA!$A$5:$H$5,0)))),"")</f>
        <v/>
      </c>
      <c r="K15" s="109" t="str">
        <f t="shared" si="0"/>
        <v/>
      </c>
    </row>
    <row r="16" spans="1:15" s="2" customFormat="1" ht="17.25" thickBot="1" x14ac:dyDescent="0.3">
      <c r="C16" s="42"/>
      <c r="D16" s="317"/>
      <c r="E16" s="89"/>
      <c r="F16" s="308"/>
      <c r="G16" s="308"/>
      <c r="H16" s="311"/>
      <c r="I16" s="91"/>
      <c r="J16" s="92" t="str">
        <f>IFERROR((INDEX(Dades_PA!$A$1:$H$32,MATCH('2.1 Absorciones árboles'!E16,Dades_PA!$A$1:$A$32,0),(MATCH('2.1 Absorciones árboles'!$H$7,Dades_PA!$A$5:$H$5,0)))),"")</f>
        <v/>
      </c>
      <c r="K16" s="110" t="str">
        <f t="shared" si="0"/>
        <v/>
      </c>
    </row>
    <row r="17" spans="3:11" s="2" customFormat="1" ht="16.5" x14ac:dyDescent="0.25">
      <c r="C17" s="42"/>
      <c r="D17" s="315" t="str">
        <f>IF(('1. Datos generales del proyecto'!D32:E32)="","",('1. Datos generales del proyecto'!D32:E32))</f>
        <v/>
      </c>
      <c r="E17" s="81"/>
      <c r="F17" s="306" t="str">
        <f>IF(E17="","",(IFERROR(((IF('1. Datos generales del proyecto'!$J$32=0,"",'1. Datos generales del proyecto'!$J$32))),"")))</f>
        <v/>
      </c>
      <c r="G17" s="306" t="str">
        <f t="shared" ref="G17:G47" si="1">IFERROR((IF((F17+H17)&gt;F17,(F17+H17),"")),"")</f>
        <v/>
      </c>
      <c r="H17" s="309"/>
      <c r="I17" s="83"/>
      <c r="J17" s="84" t="str">
        <f>IFERROR((INDEX(Dades_PA!$A$1:$H$32,MATCH('2.1 Absorciones árboles'!E17,Dades_PA!$A$1:$A$32,0),(MATCH('2.1 Absorciones árboles'!$H$17,Dades_PA!$A$5:$H$5,0)))),"")</f>
        <v/>
      </c>
      <c r="K17" s="108" t="str">
        <f t="shared" si="0"/>
        <v/>
      </c>
    </row>
    <row r="18" spans="3:11" s="2" customFormat="1" ht="16.5" x14ac:dyDescent="0.25">
      <c r="C18" s="42"/>
      <c r="D18" s="316"/>
      <c r="E18" s="85"/>
      <c r="F18" s="307"/>
      <c r="G18" s="307"/>
      <c r="H18" s="310"/>
      <c r="I18" s="87"/>
      <c r="J18" s="88" t="str">
        <f>IFERROR((INDEX(Dades_PA!$A$1:$H$32,MATCH('2.1 Absorciones árboles'!E18,Dades_PA!$A$1:$A$32,0),(MATCH('2.1 Absorciones árboles'!$H$17,Dades_PA!$A$5:$H$5,0)))),"")</f>
        <v/>
      </c>
      <c r="K18" s="109" t="str">
        <f t="shared" si="0"/>
        <v/>
      </c>
    </row>
    <row r="19" spans="3:11" s="2" customFormat="1" ht="16.5" x14ac:dyDescent="0.25">
      <c r="D19" s="316"/>
      <c r="E19" s="85"/>
      <c r="F19" s="307"/>
      <c r="G19" s="307"/>
      <c r="H19" s="310"/>
      <c r="I19" s="87"/>
      <c r="J19" s="88" t="str">
        <f>IFERROR((INDEX(Dades_PA!$A$1:$H$32,MATCH('2.1 Absorciones árboles'!E19,Dades_PA!$A$1:$A$32,0),(MATCH('2.1 Absorciones árboles'!$H$17,Dades_PA!$A$5:$H$5,0)))),"")</f>
        <v/>
      </c>
      <c r="K19" s="109" t="str">
        <f t="shared" si="0"/>
        <v/>
      </c>
    </row>
    <row r="20" spans="3:11" s="2" customFormat="1" ht="16.5" x14ac:dyDescent="0.25">
      <c r="D20" s="316"/>
      <c r="E20" s="85"/>
      <c r="F20" s="307"/>
      <c r="G20" s="307"/>
      <c r="H20" s="310"/>
      <c r="I20" s="87"/>
      <c r="J20" s="88" t="str">
        <f>IFERROR((INDEX(Dades_PA!$A$1:$H$32,MATCH('2.1 Absorciones árboles'!E20,Dades_PA!$A$1:$A$32,0),(MATCH('2.1 Absorciones árboles'!$H$17,Dades_PA!$A$5:$H$5,0)))),"")</f>
        <v/>
      </c>
      <c r="K20" s="109" t="str">
        <f t="shared" si="0"/>
        <v/>
      </c>
    </row>
    <row r="21" spans="3:11" s="2" customFormat="1" ht="16.5" x14ac:dyDescent="0.25">
      <c r="D21" s="316"/>
      <c r="E21" s="85"/>
      <c r="F21" s="307"/>
      <c r="G21" s="307"/>
      <c r="H21" s="310"/>
      <c r="I21" s="87"/>
      <c r="J21" s="88" t="str">
        <f>IFERROR((INDEX(Dades_PA!$A$1:$H$32,MATCH('2.1 Absorciones árboles'!E21,Dades_PA!$A$1:$A$32,0),(MATCH('2.1 Absorciones árboles'!$H$17,Dades_PA!$A$5:$H$5,0)))),"")</f>
        <v/>
      </c>
      <c r="K21" s="109" t="str">
        <f t="shared" si="0"/>
        <v/>
      </c>
    </row>
    <row r="22" spans="3:11" s="2" customFormat="1" ht="16.5" x14ac:dyDescent="0.25">
      <c r="D22" s="316"/>
      <c r="E22" s="85"/>
      <c r="F22" s="307"/>
      <c r="G22" s="307"/>
      <c r="H22" s="310"/>
      <c r="I22" s="87"/>
      <c r="J22" s="88" t="str">
        <f>IFERROR((INDEX(Dades_PA!$A$1:$H$32,MATCH('2.1 Absorciones árboles'!E22,Dades_PA!$A$1:$A$32,0),(MATCH('2.1 Absorciones árboles'!$H$17,Dades_PA!$A$5:$H$5,0)))),"")</f>
        <v/>
      </c>
      <c r="K22" s="109" t="str">
        <f t="shared" si="0"/>
        <v/>
      </c>
    </row>
    <row r="23" spans="3:11" s="2" customFormat="1" ht="16.5" x14ac:dyDescent="0.25">
      <c r="D23" s="316"/>
      <c r="E23" s="85"/>
      <c r="F23" s="307"/>
      <c r="G23" s="307"/>
      <c r="H23" s="310"/>
      <c r="I23" s="87"/>
      <c r="J23" s="88" t="str">
        <f>IFERROR((INDEX(Dades_PA!$A$1:$H$32,MATCH('2.1 Absorciones árboles'!E23,Dades_PA!$A$1:$A$32,0),(MATCH('2.1 Absorciones árboles'!$H$17,Dades_PA!$A$5:$H$5,0)))),"")</f>
        <v/>
      </c>
      <c r="K23" s="109" t="str">
        <f t="shared" si="0"/>
        <v/>
      </c>
    </row>
    <row r="24" spans="3:11" s="2" customFormat="1" ht="16.5" x14ac:dyDescent="0.25">
      <c r="D24" s="316"/>
      <c r="E24" s="85"/>
      <c r="F24" s="307"/>
      <c r="G24" s="307"/>
      <c r="H24" s="310"/>
      <c r="I24" s="87"/>
      <c r="J24" s="88" t="str">
        <f>IFERROR((INDEX(Dades_PA!$A$1:$H$32,MATCH('2.1 Absorciones árboles'!E24,Dades_PA!$A$1:$A$32,0),(MATCH('2.1 Absorciones árboles'!$H$17,Dades_PA!$A$5:$H$5,0)))),"")</f>
        <v/>
      </c>
      <c r="K24" s="109" t="str">
        <f t="shared" si="0"/>
        <v/>
      </c>
    </row>
    <row r="25" spans="3:11" s="2" customFormat="1" ht="16.5" x14ac:dyDescent="0.25">
      <c r="D25" s="316"/>
      <c r="E25" s="85"/>
      <c r="F25" s="307"/>
      <c r="G25" s="307"/>
      <c r="H25" s="310"/>
      <c r="I25" s="87"/>
      <c r="J25" s="88" t="str">
        <f>IFERROR((INDEX(Dades_PA!$A$1:$H$32,MATCH('2.1 Absorciones árboles'!E25,Dades_PA!$A$1:$A$32,0),(MATCH('2.1 Absorciones árboles'!$H$17,Dades_PA!$A$5:$H$5,0)))),"")</f>
        <v/>
      </c>
      <c r="K25" s="109" t="str">
        <f t="shared" si="0"/>
        <v/>
      </c>
    </row>
    <row r="26" spans="3:11" s="2" customFormat="1" ht="17.25" thickBot="1" x14ac:dyDescent="0.3">
      <c r="D26" s="317"/>
      <c r="E26" s="89"/>
      <c r="F26" s="308"/>
      <c r="G26" s="308"/>
      <c r="H26" s="311"/>
      <c r="I26" s="91"/>
      <c r="J26" s="92" t="str">
        <f>IFERROR((INDEX(Dades_PA!$A$1:$H$32,MATCH('2.1 Absorciones árboles'!E26,Dades_PA!$A$1:$A$32,0),(MATCH('2.1 Absorciones árboles'!$H$17,Dades_PA!$A$5:$H$5,0)))),"")</f>
        <v/>
      </c>
      <c r="K26" s="110" t="str">
        <f t="shared" si="0"/>
        <v/>
      </c>
    </row>
    <row r="27" spans="3:11" s="2" customFormat="1" ht="16.5" customHeight="1" x14ac:dyDescent="0.25">
      <c r="D27" s="315" t="str">
        <f>IF(('1. Datos generales del proyecto'!D33:E33)="","",('1. Datos generales del proyecto'!D33:E33))</f>
        <v/>
      </c>
      <c r="E27" s="81"/>
      <c r="F27" s="306" t="str">
        <f>IF(E27="","",(IFERROR(((IF('1. Datos generales del proyecto'!$J$33=0,"",'1. Datos generales del proyecto'!$J$33))),"")))</f>
        <v/>
      </c>
      <c r="G27" s="306" t="str">
        <f t="shared" si="1"/>
        <v/>
      </c>
      <c r="H27" s="309"/>
      <c r="I27" s="83"/>
      <c r="J27" s="84" t="str">
        <f>IFERROR((INDEX(Dades_PA!$A$1:$H$32,MATCH('2.1 Absorciones árboles'!E27,Dades_PA!$A$1:$A$32,0),(MATCH('2.1 Absorciones árboles'!$H$27,Dades_PA!$A$5:$H$5,0)))),"")</f>
        <v/>
      </c>
      <c r="K27" s="108" t="str">
        <f t="shared" si="0"/>
        <v/>
      </c>
    </row>
    <row r="28" spans="3:11" s="2" customFormat="1" ht="16.5" x14ac:dyDescent="0.25">
      <c r="D28" s="316"/>
      <c r="E28" s="85"/>
      <c r="F28" s="307"/>
      <c r="G28" s="307"/>
      <c r="H28" s="310"/>
      <c r="I28" s="87"/>
      <c r="J28" s="88" t="str">
        <f>IFERROR((INDEX(Dades_PA!$A$1:$H$32,MATCH('2.1 Absorciones árboles'!E28,Dades_PA!$A$1:$A$32,0),(MATCH('2.1 Absorciones árboles'!$H$27,Dades_PA!$A$5:$H$5,0)))),"")</f>
        <v/>
      </c>
      <c r="K28" s="109" t="str">
        <f t="shared" si="0"/>
        <v/>
      </c>
    </row>
    <row r="29" spans="3:11" s="2" customFormat="1" ht="16.5" x14ac:dyDescent="0.25">
      <c r="D29" s="316"/>
      <c r="E29" s="85"/>
      <c r="F29" s="307"/>
      <c r="G29" s="307"/>
      <c r="H29" s="310"/>
      <c r="I29" s="87"/>
      <c r="J29" s="88" t="str">
        <f>IFERROR((INDEX(Dades_PA!$A$1:$H$32,MATCH('2.1 Absorciones árboles'!E29,Dades_PA!$A$1:$A$32,0),(MATCH('2.1 Absorciones árboles'!$H$27,Dades_PA!$A$5:$H$5,0)))),"")</f>
        <v/>
      </c>
      <c r="K29" s="109" t="str">
        <f t="shared" si="0"/>
        <v/>
      </c>
    </row>
    <row r="30" spans="3:11" s="2" customFormat="1" ht="16.5" x14ac:dyDescent="0.25">
      <c r="D30" s="316"/>
      <c r="E30" s="85"/>
      <c r="F30" s="307"/>
      <c r="G30" s="307"/>
      <c r="H30" s="310"/>
      <c r="I30" s="87"/>
      <c r="J30" s="88" t="str">
        <f>IFERROR((INDEX(Dades_PA!$A$1:$H$32,MATCH('2.1 Absorciones árboles'!E30,Dades_PA!$A$1:$A$32,0),(MATCH('2.1 Absorciones árboles'!$H$27,Dades_PA!$A$5:$H$5,0)))),"")</f>
        <v/>
      </c>
      <c r="K30" s="109" t="str">
        <f t="shared" si="0"/>
        <v/>
      </c>
    </row>
    <row r="31" spans="3:11" s="2" customFormat="1" ht="16.5" x14ac:dyDescent="0.25">
      <c r="D31" s="316"/>
      <c r="E31" s="85"/>
      <c r="F31" s="307"/>
      <c r="G31" s="307"/>
      <c r="H31" s="310"/>
      <c r="I31" s="87"/>
      <c r="J31" s="88" t="str">
        <f>IFERROR((INDEX(Dades_PA!$A$1:$H$32,MATCH('2.1 Absorciones árboles'!E31,Dades_PA!$A$1:$A$32,0),(MATCH('2.1 Absorciones árboles'!$H$27,Dades_PA!$A$5:$H$5,0)))),"")</f>
        <v/>
      </c>
      <c r="K31" s="109" t="str">
        <f t="shared" si="0"/>
        <v/>
      </c>
    </row>
    <row r="32" spans="3:11" s="2" customFormat="1" ht="16.5" x14ac:dyDescent="0.25">
      <c r="D32" s="316"/>
      <c r="E32" s="85"/>
      <c r="F32" s="307"/>
      <c r="G32" s="307"/>
      <c r="H32" s="310"/>
      <c r="I32" s="87"/>
      <c r="J32" s="88" t="str">
        <f>IFERROR((INDEX(Dades_PA!$A$1:$H$32,MATCH('2.1 Absorciones árboles'!E32,Dades_PA!$A$1:$A$32,0),(MATCH('2.1 Absorciones árboles'!$H$27,Dades_PA!$A$5:$H$5,0)))),"")</f>
        <v/>
      </c>
      <c r="K32" s="109" t="str">
        <f t="shared" si="0"/>
        <v/>
      </c>
    </row>
    <row r="33" spans="3:11" s="2" customFormat="1" ht="16.5" x14ac:dyDescent="0.25">
      <c r="D33" s="316"/>
      <c r="E33" s="85"/>
      <c r="F33" s="307"/>
      <c r="G33" s="307"/>
      <c r="H33" s="310"/>
      <c r="I33" s="87"/>
      <c r="J33" s="88" t="str">
        <f>IFERROR((INDEX(Dades_PA!$A$1:$H$32,MATCH('2.1 Absorciones árboles'!E33,Dades_PA!$A$1:$A$32,0),(MATCH('2.1 Absorciones árboles'!$H$27,Dades_PA!$A$5:$H$5,0)))),"")</f>
        <v/>
      </c>
      <c r="K33" s="109" t="str">
        <f t="shared" si="0"/>
        <v/>
      </c>
    </row>
    <row r="34" spans="3:11" s="2" customFormat="1" ht="16.5" x14ac:dyDescent="0.25">
      <c r="D34" s="316"/>
      <c r="E34" s="85"/>
      <c r="F34" s="307"/>
      <c r="G34" s="307"/>
      <c r="H34" s="310"/>
      <c r="I34" s="87"/>
      <c r="J34" s="88" t="str">
        <f>IFERROR((INDEX(Dades_PA!$A$1:$H$32,MATCH('2.1 Absorciones árboles'!E34,Dades_PA!$A$1:$A$32,0),(MATCH('2.1 Absorciones árboles'!$H$27,Dades_PA!$A$5:$H$5,0)))),"")</f>
        <v/>
      </c>
      <c r="K34" s="109" t="str">
        <f t="shared" si="0"/>
        <v/>
      </c>
    </row>
    <row r="35" spans="3:11" s="2" customFormat="1" ht="16.5" x14ac:dyDescent="0.25">
      <c r="D35" s="316"/>
      <c r="E35" s="85"/>
      <c r="F35" s="307"/>
      <c r="G35" s="307"/>
      <c r="H35" s="310"/>
      <c r="I35" s="87"/>
      <c r="J35" s="88" t="str">
        <f>IFERROR((INDEX(Dades_PA!$A$1:$H$32,MATCH('2.1 Absorciones árboles'!E35,Dades_PA!$A$1:$A$32,0),(MATCH('2.1 Absorciones árboles'!$H$27,Dades_PA!$A$5:$H$5,0)))),"")</f>
        <v/>
      </c>
      <c r="K35" s="109" t="str">
        <f t="shared" si="0"/>
        <v/>
      </c>
    </row>
    <row r="36" spans="3:11" s="2" customFormat="1" ht="17.25" thickBot="1" x14ac:dyDescent="0.3">
      <c r="D36" s="317"/>
      <c r="E36" s="89"/>
      <c r="F36" s="308"/>
      <c r="G36" s="308"/>
      <c r="H36" s="311"/>
      <c r="I36" s="91"/>
      <c r="J36" s="92" t="str">
        <f>IFERROR((INDEX(Dades_PA!$A$1:$H$32,MATCH('2.1 Absorciones árboles'!E36,Dades_PA!$A$1:$A$32,0),(MATCH('2.1 Absorciones árboles'!$H$27,Dades_PA!$A$5:$H$5,0)))),"")</f>
        <v/>
      </c>
      <c r="K36" s="110" t="str">
        <f t="shared" si="0"/>
        <v/>
      </c>
    </row>
    <row r="37" spans="3:11" s="2" customFormat="1" ht="16.5" customHeight="1" x14ac:dyDescent="0.25">
      <c r="D37" s="315" t="str">
        <f>IF(('1. Datos generales del proyecto'!D34:E34)="","",('1. Datos generales del proyecto'!D34:E34))</f>
        <v/>
      </c>
      <c r="E37" s="81"/>
      <c r="F37" s="306" t="str">
        <f>IF(E37="","",(IFERROR(((IF('1. Datos generales del proyecto'!$J$34=0,"",'1. Datos generales del proyecto'!$J$34))),"")))</f>
        <v/>
      </c>
      <c r="G37" s="306" t="str">
        <f t="shared" si="1"/>
        <v/>
      </c>
      <c r="H37" s="309"/>
      <c r="I37" s="83"/>
      <c r="J37" s="84" t="str">
        <f>IFERROR((INDEX(Dades_PA!$A$1:$H$32,MATCH('2.1 Absorciones árboles'!E37,Dades_PA!$A$1:$A$32,0),(MATCH('2.1 Absorciones árboles'!$H$37,Dades_PA!$A$5:$H$5,0)))),"")</f>
        <v/>
      </c>
      <c r="K37" s="108" t="str">
        <f t="shared" si="0"/>
        <v/>
      </c>
    </row>
    <row r="38" spans="3:11" s="2" customFormat="1" ht="16.5" x14ac:dyDescent="0.25">
      <c r="C38" s="43"/>
      <c r="D38" s="316"/>
      <c r="E38" s="85"/>
      <c r="F38" s="307"/>
      <c r="G38" s="307"/>
      <c r="H38" s="310"/>
      <c r="I38" s="87"/>
      <c r="J38" s="88" t="str">
        <f>IFERROR((INDEX(Dades_PA!$A$1:$H$32,MATCH('2.1 Absorciones árboles'!E38,Dades_PA!$A$1:$A$32,0),(MATCH('2.1 Absorciones árboles'!$H$37,Dades_PA!$A$5:$H$5,0)))),"")</f>
        <v/>
      </c>
      <c r="K38" s="109" t="str">
        <f t="shared" si="0"/>
        <v/>
      </c>
    </row>
    <row r="39" spans="3:11" s="2" customFormat="1" ht="16.5" x14ac:dyDescent="0.25">
      <c r="D39" s="316"/>
      <c r="E39" s="85"/>
      <c r="F39" s="307"/>
      <c r="G39" s="307"/>
      <c r="H39" s="310"/>
      <c r="I39" s="87"/>
      <c r="J39" s="88" t="str">
        <f>IFERROR((INDEX(Dades_PA!$A$1:$H$32,MATCH('2.1 Absorciones árboles'!E39,Dades_PA!$A$1:$A$32,0),(MATCH('2.1 Absorciones árboles'!$H$37,Dades_PA!$A$5:$H$5,0)))),"")</f>
        <v/>
      </c>
      <c r="K39" s="109" t="str">
        <f t="shared" si="0"/>
        <v/>
      </c>
    </row>
    <row r="40" spans="3:11" s="2" customFormat="1" ht="16.5" x14ac:dyDescent="0.25">
      <c r="D40" s="316"/>
      <c r="E40" s="85"/>
      <c r="F40" s="307"/>
      <c r="G40" s="307"/>
      <c r="H40" s="310"/>
      <c r="I40" s="87"/>
      <c r="J40" s="88" t="str">
        <f>IFERROR((INDEX(Dades_PA!$A$1:$H$32,MATCH('2.1 Absorciones árboles'!E40,Dades_PA!$A$1:$A$32,0),(MATCH('2.1 Absorciones árboles'!$H$37,Dades_PA!$A$5:$H$5,0)))),"")</f>
        <v/>
      </c>
      <c r="K40" s="109" t="str">
        <f t="shared" si="0"/>
        <v/>
      </c>
    </row>
    <row r="41" spans="3:11" s="2" customFormat="1" ht="16.5" x14ac:dyDescent="0.25">
      <c r="D41" s="316"/>
      <c r="E41" s="85"/>
      <c r="F41" s="307"/>
      <c r="G41" s="307"/>
      <c r="H41" s="310"/>
      <c r="I41" s="87"/>
      <c r="J41" s="88" t="str">
        <f>IFERROR((INDEX(Dades_PA!$A$1:$H$32,MATCH('2.1 Absorciones árboles'!E41,Dades_PA!$A$1:$A$32,0),(MATCH('2.1 Absorciones árboles'!$H$37,Dades_PA!$A$5:$H$5,0)))),"")</f>
        <v/>
      </c>
      <c r="K41" s="109" t="str">
        <f t="shared" si="0"/>
        <v/>
      </c>
    </row>
    <row r="42" spans="3:11" s="2" customFormat="1" ht="16.5" x14ac:dyDescent="0.25">
      <c r="D42" s="316"/>
      <c r="E42" s="85"/>
      <c r="F42" s="307"/>
      <c r="G42" s="307"/>
      <c r="H42" s="310"/>
      <c r="I42" s="87"/>
      <c r="J42" s="88" t="str">
        <f>IFERROR((INDEX(Dades_PA!$A$1:$H$32,MATCH('2.1 Absorciones árboles'!E42,Dades_PA!$A$1:$A$32,0),(MATCH('2.1 Absorciones árboles'!$H$37,Dades_PA!$A$5:$H$5,0)))),"")</f>
        <v/>
      </c>
      <c r="K42" s="109" t="str">
        <f t="shared" si="0"/>
        <v/>
      </c>
    </row>
    <row r="43" spans="3:11" s="2" customFormat="1" ht="16.5" x14ac:dyDescent="0.25">
      <c r="D43" s="316"/>
      <c r="E43" s="85"/>
      <c r="F43" s="307"/>
      <c r="G43" s="307"/>
      <c r="H43" s="310"/>
      <c r="I43" s="87"/>
      <c r="J43" s="88" t="str">
        <f>IFERROR((INDEX(Dades_PA!$A$1:$H$32,MATCH('2.1 Absorciones árboles'!E43,Dades_PA!$A$1:$A$32,0),(MATCH('2.1 Absorciones árboles'!$H$37,Dades_PA!$A$5:$H$5,0)))),"")</f>
        <v/>
      </c>
      <c r="K43" s="109" t="str">
        <f t="shared" si="0"/>
        <v/>
      </c>
    </row>
    <row r="44" spans="3:11" s="2" customFormat="1" ht="16.5" x14ac:dyDescent="0.25">
      <c r="D44" s="316"/>
      <c r="E44" s="85"/>
      <c r="F44" s="307"/>
      <c r="G44" s="307"/>
      <c r="H44" s="310"/>
      <c r="I44" s="87"/>
      <c r="J44" s="88" t="str">
        <f>IFERROR((INDEX(Dades_PA!$A$1:$H$32,MATCH('2.1 Absorciones árboles'!E44,Dades_PA!$A$1:$A$32,0),(MATCH('2.1 Absorciones árboles'!$H$37,Dades_PA!$A$5:$H$5,0)))),"")</f>
        <v/>
      </c>
      <c r="K44" s="109" t="str">
        <f t="shared" si="0"/>
        <v/>
      </c>
    </row>
    <row r="45" spans="3:11" s="2" customFormat="1" ht="16.5" x14ac:dyDescent="0.25">
      <c r="D45" s="316"/>
      <c r="E45" s="85"/>
      <c r="F45" s="307"/>
      <c r="G45" s="307"/>
      <c r="H45" s="310"/>
      <c r="I45" s="87"/>
      <c r="J45" s="88" t="str">
        <f>IFERROR((INDEX(Dades_PA!$A$1:$H$32,MATCH('2.1 Absorciones árboles'!E45,Dades_PA!$A$1:$A$32,0),(MATCH('2.1 Absorciones árboles'!$H$37,Dades_PA!$A$5:$H$5,0)))),"")</f>
        <v/>
      </c>
      <c r="K45" s="109" t="str">
        <f t="shared" si="0"/>
        <v/>
      </c>
    </row>
    <row r="46" spans="3:11" s="2" customFormat="1" ht="17.25" thickBot="1" x14ac:dyDescent="0.3">
      <c r="D46" s="317"/>
      <c r="E46" s="89"/>
      <c r="F46" s="308"/>
      <c r="G46" s="308"/>
      <c r="H46" s="311"/>
      <c r="I46" s="91"/>
      <c r="J46" s="92" t="str">
        <f>IFERROR((INDEX(Dades_PA!$A$1:$H$32,MATCH('2.1 Absorciones árboles'!E46,Dades_PA!$A$1:$A$32,0),(MATCH('2.1 Absorciones árboles'!$H$37,Dades_PA!$A$5:$H$5,0)))),"")</f>
        <v/>
      </c>
      <c r="K46" s="110" t="str">
        <f t="shared" si="0"/>
        <v/>
      </c>
    </row>
    <row r="47" spans="3:11" s="2" customFormat="1" ht="16.5" customHeight="1" x14ac:dyDescent="0.25">
      <c r="D47" s="315" t="str">
        <f>IF(('1. Datos generales del proyecto'!D35:E35)="","",('1. Datos generales del proyecto'!D35:E35))</f>
        <v/>
      </c>
      <c r="E47" s="81"/>
      <c r="F47" s="306" t="str">
        <f>IF(E47="","",(IFERROR(((IF('1. Datos generales del proyecto'!$J$35=0,"",'1. Datos generales del proyecto'!$J$35))),"")))</f>
        <v/>
      </c>
      <c r="G47" s="306" t="str">
        <f t="shared" si="1"/>
        <v/>
      </c>
      <c r="H47" s="309"/>
      <c r="I47" s="83"/>
      <c r="J47" s="84" t="str">
        <f>IFERROR((INDEX(Dades_PA!$A$1:$H$32,MATCH('2.1 Absorciones árboles'!E47,Dades_PA!$A$1:$A$32,0),(MATCH('2.1 Absorciones árboles'!$H$47,Dades_PA!$A$5:$H$5,0)))),"")</f>
        <v/>
      </c>
      <c r="K47" s="108" t="str">
        <f t="shared" si="0"/>
        <v/>
      </c>
    </row>
    <row r="48" spans="3:11" s="2" customFormat="1" ht="16.5" x14ac:dyDescent="0.25">
      <c r="D48" s="316"/>
      <c r="E48" s="85"/>
      <c r="F48" s="307"/>
      <c r="G48" s="307"/>
      <c r="H48" s="310"/>
      <c r="I48" s="87"/>
      <c r="J48" s="88" t="str">
        <f>IFERROR((INDEX(Dades_PA!$A$1:$H$32,MATCH('2.1 Absorciones árboles'!E48,Dades_PA!$A$1:$A$32,0),(MATCH('2.1 Absorciones árboles'!$H$47,Dades_PA!$A$5:$H$5,0)))),"")</f>
        <v/>
      </c>
      <c r="K48" s="109" t="str">
        <f t="shared" si="0"/>
        <v/>
      </c>
    </row>
    <row r="49" spans="3:11" s="2" customFormat="1" ht="16.5" x14ac:dyDescent="0.25">
      <c r="D49" s="316"/>
      <c r="E49" s="85"/>
      <c r="F49" s="307"/>
      <c r="G49" s="307"/>
      <c r="H49" s="310"/>
      <c r="I49" s="87"/>
      <c r="J49" s="88" t="str">
        <f>IFERROR((INDEX(Dades_PA!$A$1:$H$32,MATCH('2.1 Absorciones árboles'!E49,Dades_PA!$A$1:$A$32,0),(MATCH('2.1 Absorciones árboles'!$H$47,Dades_PA!$A$5:$H$5,0)))),"")</f>
        <v/>
      </c>
      <c r="K49" s="109" t="str">
        <f t="shared" si="0"/>
        <v/>
      </c>
    </row>
    <row r="50" spans="3:11" s="2" customFormat="1" ht="16.5" x14ac:dyDescent="0.25">
      <c r="D50" s="316"/>
      <c r="E50" s="85"/>
      <c r="F50" s="307"/>
      <c r="G50" s="307"/>
      <c r="H50" s="310"/>
      <c r="I50" s="87"/>
      <c r="J50" s="88" t="str">
        <f>IFERROR((INDEX(Dades_PA!$A$1:$H$32,MATCH('2.1 Absorciones árboles'!E50,Dades_PA!$A$1:$A$32,0),(MATCH('2.1 Absorciones árboles'!$H$47,Dades_PA!$A$5:$H$5,0)))),"")</f>
        <v/>
      </c>
      <c r="K50" s="109" t="str">
        <f t="shared" si="0"/>
        <v/>
      </c>
    </row>
    <row r="51" spans="3:11" s="2" customFormat="1" ht="16.5" x14ac:dyDescent="0.25">
      <c r="D51" s="316"/>
      <c r="E51" s="85"/>
      <c r="F51" s="307"/>
      <c r="G51" s="307"/>
      <c r="H51" s="310"/>
      <c r="I51" s="87"/>
      <c r="J51" s="88" t="str">
        <f>IFERROR((INDEX(Dades_PA!$A$1:$H$32,MATCH('2.1 Absorciones árboles'!E51,Dades_PA!$A$1:$A$32,0),(MATCH('2.1 Absorciones árboles'!$H$47,Dades_PA!$A$5:$H$5,0)))),"")</f>
        <v/>
      </c>
      <c r="K51" s="109" t="str">
        <f t="shared" si="0"/>
        <v/>
      </c>
    </row>
    <row r="52" spans="3:11" s="2" customFormat="1" ht="16.5" x14ac:dyDescent="0.25">
      <c r="D52" s="316"/>
      <c r="E52" s="85"/>
      <c r="F52" s="307"/>
      <c r="G52" s="307"/>
      <c r="H52" s="310"/>
      <c r="I52" s="87"/>
      <c r="J52" s="88" t="str">
        <f>IFERROR((INDEX(Dades_PA!$A$1:$H$32,MATCH('2.1 Absorciones árboles'!E52,Dades_PA!$A$1:$A$32,0),(MATCH('2.1 Absorciones árboles'!$H$47,Dades_PA!$A$5:$H$5,0)))),"")</f>
        <v/>
      </c>
      <c r="K52" s="109" t="str">
        <f t="shared" si="0"/>
        <v/>
      </c>
    </row>
    <row r="53" spans="3:11" s="2" customFormat="1" ht="16.5" x14ac:dyDescent="0.25">
      <c r="D53" s="316"/>
      <c r="E53" s="85"/>
      <c r="F53" s="307"/>
      <c r="G53" s="307"/>
      <c r="H53" s="310"/>
      <c r="I53" s="87"/>
      <c r="J53" s="88" t="str">
        <f>IFERROR((INDEX(Dades_PA!$A$1:$H$32,MATCH('2.1 Absorciones árboles'!E53,Dades_PA!$A$1:$A$32,0),(MATCH('2.1 Absorciones árboles'!$H$47,Dades_PA!$A$5:$H$5,0)))),"")</f>
        <v/>
      </c>
      <c r="K53" s="109" t="str">
        <f t="shared" si="0"/>
        <v/>
      </c>
    </row>
    <row r="54" spans="3:11" s="2" customFormat="1" ht="16.5" x14ac:dyDescent="0.25">
      <c r="D54" s="316"/>
      <c r="E54" s="85"/>
      <c r="F54" s="307"/>
      <c r="G54" s="307"/>
      <c r="H54" s="310"/>
      <c r="I54" s="87"/>
      <c r="J54" s="88" t="str">
        <f>IFERROR((INDEX(Dades_PA!$A$1:$H$32,MATCH('2.1 Absorciones árboles'!E54,Dades_PA!$A$1:$A$32,0),(MATCH('2.1 Absorciones árboles'!$H$47,Dades_PA!$A$5:$H$5,0)))),"")</f>
        <v/>
      </c>
      <c r="K54" s="109" t="str">
        <f t="shared" si="0"/>
        <v/>
      </c>
    </row>
    <row r="55" spans="3:11" s="2" customFormat="1" ht="16.5" x14ac:dyDescent="0.25">
      <c r="D55" s="316"/>
      <c r="E55" s="85"/>
      <c r="F55" s="307"/>
      <c r="G55" s="307"/>
      <c r="H55" s="310"/>
      <c r="I55" s="87"/>
      <c r="J55" s="88" t="str">
        <f>IFERROR((INDEX(Dades_PA!$A$1:$H$32,MATCH('2.1 Absorciones árboles'!E55,Dades_PA!$A$1:$A$32,0),(MATCH('2.1 Absorciones árboles'!$H$47,Dades_PA!$A$5:$H$5,0)))),"")</f>
        <v/>
      </c>
      <c r="K55" s="109" t="str">
        <f t="shared" si="0"/>
        <v/>
      </c>
    </row>
    <row r="56" spans="3:11" s="2" customFormat="1" ht="17.25" thickBot="1" x14ac:dyDescent="0.3">
      <c r="D56" s="317"/>
      <c r="E56" s="89"/>
      <c r="F56" s="308"/>
      <c r="G56" s="308"/>
      <c r="H56" s="311"/>
      <c r="I56" s="91"/>
      <c r="J56" s="92" t="str">
        <f>IFERROR((INDEX(Dades_PA!$A$1:$H$32,MATCH('2.1 Absorciones árboles'!E56,Dades_PA!$A$1:$A$32,0),(MATCH('2.1 Absorciones árboles'!$H$47,Dades_PA!$A$5:$H$5,0)))),"")</f>
        <v/>
      </c>
      <c r="K56" s="110" t="str">
        <f t="shared" si="0"/>
        <v/>
      </c>
    </row>
    <row r="57" spans="3:11" s="2" customFormat="1" ht="17.25" thickBot="1" x14ac:dyDescent="0.3">
      <c r="D57" s="196" t="s">
        <v>7</v>
      </c>
      <c r="E57" s="197" t="s">
        <v>6</v>
      </c>
      <c r="F57" s="197" t="s">
        <v>6</v>
      </c>
      <c r="G57" s="197" t="s">
        <v>6</v>
      </c>
      <c r="H57" s="197" t="s">
        <v>6</v>
      </c>
      <c r="I57" s="198">
        <f>SUM(I7:I56)</f>
        <v>0</v>
      </c>
      <c r="J57" s="195" t="s">
        <v>6</v>
      </c>
      <c r="K57" s="199">
        <f>SUM(K7:K56)</f>
        <v>0</v>
      </c>
    </row>
    <row r="58" spans="3:11" s="2" customFormat="1" x14ac:dyDescent="0.25">
      <c r="D58" s="44"/>
      <c r="E58" s="44"/>
      <c r="F58" s="44"/>
      <c r="G58" s="44"/>
      <c r="H58" s="44"/>
      <c r="I58" s="44"/>
      <c r="J58" s="44"/>
      <c r="K58" s="44"/>
    </row>
    <row r="59" spans="3:11" s="2" customFormat="1" x14ac:dyDescent="0.25">
      <c r="D59" s="321" t="s">
        <v>112</v>
      </c>
      <c r="E59" s="322"/>
      <c r="F59" s="322"/>
      <c r="G59" s="322"/>
      <c r="H59" s="322"/>
      <c r="I59" s="322"/>
      <c r="J59" s="322"/>
      <c r="K59" s="323"/>
    </row>
    <row r="60" spans="3:11" s="2" customFormat="1" x14ac:dyDescent="0.25">
      <c r="D60" s="324"/>
      <c r="E60" s="325"/>
      <c r="F60" s="325"/>
      <c r="G60" s="325"/>
      <c r="H60" s="325"/>
      <c r="I60" s="325"/>
      <c r="J60" s="325"/>
      <c r="K60" s="326"/>
    </row>
    <row r="61" spans="3:11" s="2" customFormat="1" x14ac:dyDescent="0.25">
      <c r="D61" s="324"/>
      <c r="E61" s="325"/>
      <c r="F61" s="325"/>
      <c r="G61" s="325"/>
      <c r="H61" s="325"/>
      <c r="I61" s="325"/>
      <c r="J61" s="325"/>
      <c r="K61" s="326"/>
    </row>
    <row r="62" spans="3:11" s="2" customFormat="1" x14ac:dyDescent="0.25">
      <c r="D62" s="324"/>
      <c r="E62" s="325"/>
      <c r="F62" s="325"/>
      <c r="G62" s="325"/>
      <c r="H62" s="325"/>
      <c r="I62" s="325"/>
      <c r="J62" s="325"/>
      <c r="K62" s="326"/>
    </row>
    <row r="63" spans="3:11" s="2" customFormat="1" x14ac:dyDescent="0.25">
      <c r="D63" s="327"/>
      <c r="E63" s="328"/>
      <c r="F63" s="328"/>
      <c r="G63" s="328"/>
      <c r="H63" s="328"/>
      <c r="I63" s="328"/>
      <c r="J63" s="328"/>
      <c r="K63" s="329"/>
    </row>
    <row r="64" spans="3:11" s="2" customFormat="1" x14ac:dyDescent="0.25">
      <c r="C64" s="45"/>
      <c r="D64" s="44"/>
      <c r="E64" s="44"/>
      <c r="F64" s="44"/>
      <c r="G64" s="44"/>
      <c r="H64" s="44"/>
      <c r="I64" s="44"/>
      <c r="J64" s="44"/>
      <c r="K64" s="44"/>
    </row>
    <row r="65" spans="3:11" s="2" customFormat="1" x14ac:dyDescent="0.25">
      <c r="C65" s="45"/>
      <c r="D65" s="44"/>
      <c r="E65" s="44"/>
      <c r="F65" s="44"/>
      <c r="G65" s="44"/>
      <c r="H65" s="44"/>
      <c r="I65" s="44"/>
      <c r="J65" s="44"/>
      <c r="K65" s="44"/>
    </row>
    <row r="66" spans="3:11" s="2" customFormat="1" x14ac:dyDescent="0.25">
      <c r="C66" s="45"/>
      <c r="D66" s="44"/>
      <c r="E66" s="44"/>
      <c r="F66" s="44"/>
      <c r="G66" s="44"/>
      <c r="H66" s="44"/>
      <c r="I66" s="44"/>
      <c r="J66" s="44"/>
      <c r="K66" s="44"/>
    </row>
    <row r="67" spans="3:11" s="2" customFormat="1" x14ac:dyDescent="0.25">
      <c r="C67" s="45"/>
      <c r="D67" s="44"/>
      <c r="E67" s="44"/>
      <c r="F67" s="44"/>
      <c r="G67" s="44"/>
      <c r="H67" s="44"/>
      <c r="I67" s="44"/>
      <c r="J67" s="44"/>
      <c r="K67" s="44"/>
    </row>
    <row r="68" spans="3:11" s="2" customFormat="1" x14ac:dyDescent="0.25">
      <c r="C68" s="45"/>
      <c r="D68" s="44"/>
      <c r="E68" s="44"/>
      <c r="F68" s="44"/>
      <c r="G68" s="44"/>
      <c r="H68" s="44"/>
      <c r="I68" s="44"/>
      <c r="J68" s="44"/>
      <c r="K68" s="44"/>
    </row>
    <row r="69" spans="3:11" s="2" customFormat="1" x14ac:dyDescent="0.25">
      <c r="C69" s="45"/>
      <c r="D69" s="44"/>
      <c r="E69" s="44"/>
      <c r="F69" s="44"/>
      <c r="G69" s="44"/>
      <c r="H69" s="44"/>
      <c r="I69" s="44"/>
      <c r="J69" s="44"/>
      <c r="K69" s="44"/>
    </row>
    <row r="70" spans="3:11" s="2" customFormat="1" x14ac:dyDescent="0.25">
      <c r="C70" s="45"/>
      <c r="D70" s="44"/>
      <c r="E70" s="44"/>
      <c r="F70" s="44"/>
      <c r="G70" s="44"/>
      <c r="H70" s="44"/>
      <c r="I70" s="44"/>
      <c r="J70" s="44"/>
      <c r="K70" s="44"/>
    </row>
    <row r="71" spans="3:11" s="2" customFormat="1" x14ac:dyDescent="0.25">
      <c r="C71" s="45"/>
      <c r="D71" s="44"/>
      <c r="E71" s="44"/>
      <c r="F71" s="44"/>
      <c r="G71" s="44"/>
      <c r="H71" s="44"/>
      <c r="I71" s="44"/>
      <c r="J71" s="44"/>
      <c r="K71" s="44"/>
    </row>
    <row r="72" spans="3:11" s="2" customFormat="1" x14ac:dyDescent="0.25">
      <c r="C72" s="45"/>
      <c r="D72" s="44"/>
      <c r="E72" s="44"/>
      <c r="F72" s="44"/>
      <c r="G72" s="44"/>
      <c r="H72" s="44"/>
      <c r="I72" s="44"/>
      <c r="J72" s="44"/>
      <c r="K72" s="44"/>
    </row>
    <row r="73" spans="3:11" s="2" customFormat="1" x14ac:dyDescent="0.25">
      <c r="C73" s="45"/>
      <c r="D73" s="44"/>
      <c r="E73" s="44"/>
      <c r="F73" s="44"/>
      <c r="G73" s="44"/>
      <c r="H73" s="44"/>
      <c r="I73" s="44"/>
      <c r="J73" s="44"/>
      <c r="K73" s="44"/>
    </row>
    <row r="74" spans="3:11" s="2" customFormat="1" x14ac:dyDescent="0.25">
      <c r="C74" s="45"/>
      <c r="D74" s="44"/>
      <c r="E74" s="44"/>
      <c r="F74" s="44"/>
      <c r="G74" s="44"/>
      <c r="H74" s="44"/>
      <c r="I74" s="44"/>
      <c r="J74" s="44"/>
      <c r="K74" s="44"/>
    </row>
    <row r="75" spans="3:11" s="2" customFormat="1" x14ac:dyDescent="0.25">
      <c r="C75" s="45"/>
      <c r="D75" s="44"/>
      <c r="E75" s="44"/>
      <c r="F75" s="44"/>
      <c r="G75" s="44"/>
      <c r="H75" s="44"/>
      <c r="I75" s="44"/>
      <c r="J75" s="44"/>
      <c r="K75" s="44"/>
    </row>
    <row r="76" spans="3:11" s="2" customFormat="1" x14ac:dyDescent="0.25">
      <c r="C76" s="45"/>
      <c r="D76" s="44"/>
      <c r="E76" s="44"/>
      <c r="F76" s="44"/>
      <c r="G76" s="44"/>
      <c r="H76" s="44"/>
      <c r="I76" s="44"/>
      <c r="J76" s="44"/>
      <c r="K76" s="44"/>
    </row>
    <row r="77" spans="3:11" s="2" customFormat="1" x14ac:dyDescent="0.25">
      <c r="C77" s="45"/>
      <c r="D77" s="44"/>
      <c r="E77" s="44"/>
      <c r="F77" s="44"/>
      <c r="G77" s="44"/>
      <c r="H77" s="44"/>
      <c r="I77" s="44"/>
      <c r="J77" s="44"/>
      <c r="K77" s="44"/>
    </row>
    <row r="78" spans="3:11" s="2" customFormat="1" x14ac:dyDescent="0.25">
      <c r="C78" s="45"/>
      <c r="D78" s="44"/>
      <c r="E78" s="44"/>
      <c r="F78" s="44"/>
      <c r="G78" s="44"/>
      <c r="H78" s="44"/>
      <c r="I78" s="44"/>
      <c r="J78" s="44"/>
      <c r="K78" s="44"/>
    </row>
    <row r="79" spans="3:11" s="2" customFormat="1" x14ac:dyDescent="0.25">
      <c r="C79" s="45"/>
      <c r="D79" s="44"/>
      <c r="E79" s="44"/>
      <c r="F79" s="44"/>
      <c r="G79" s="44"/>
      <c r="H79" s="44"/>
      <c r="I79" s="44"/>
      <c r="J79" s="44"/>
      <c r="K79" s="44"/>
    </row>
    <row r="80" spans="3:11" s="2" customFormat="1" x14ac:dyDescent="0.25">
      <c r="D80" s="44"/>
      <c r="E80" s="44"/>
      <c r="F80" s="44"/>
      <c r="G80" s="44"/>
      <c r="H80" s="44"/>
      <c r="I80" s="44"/>
      <c r="J80" s="44"/>
      <c r="K80" s="44"/>
    </row>
    <row r="81" spans="4:11" s="2" customFormat="1" x14ac:dyDescent="0.25">
      <c r="D81" s="44"/>
      <c r="E81" s="44"/>
      <c r="F81" s="44"/>
      <c r="G81" s="44"/>
      <c r="H81" s="44"/>
      <c r="I81" s="44"/>
      <c r="J81" s="44"/>
      <c r="K81" s="44"/>
    </row>
    <row r="82" spans="4:11" s="2" customFormat="1" x14ac:dyDescent="0.25">
      <c r="D82" s="44"/>
      <c r="E82" s="44"/>
      <c r="F82" s="44"/>
      <c r="G82" s="44"/>
      <c r="H82" s="44"/>
      <c r="I82" s="44"/>
      <c r="J82" s="44"/>
      <c r="K82" s="44"/>
    </row>
    <row r="83" spans="4:11" s="2" customFormat="1" x14ac:dyDescent="0.25">
      <c r="D83" s="44"/>
      <c r="E83" s="44"/>
      <c r="F83" s="44"/>
      <c r="G83" s="44"/>
      <c r="H83" s="44"/>
      <c r="I83" s="44"/>
      <c r="J83" s="44"/>
      <c r="K83" s="44"/>
    </row>
    <row r="84" spans="4:11" s="2" customFormat="1" x14ac:dyDescent="0.25">
      <c r="D84" s="44"/>
      <c r="E84" s="44"/>
      <c r="F84" s="44"/>
      <c r="G84" s="44"/>
      <c r="H84" s="44"/>
      <c r="I84" s="44"/>
      <c r="J84" s="44"/>
      <c r="K84" s="44"/>
    </row>
    <row r="85" spans="4:11" s="2" customFormat="1" x14ac:dyDescent="0.25">
      <c r="D85" s="44"/>
      <c r="E85" s="44"/>
      <c r="F85" s="44"/>
      <c r="G85" s="44"/>
      <c r="H85" s="44"/>
      <c r="I85" s="44"/>
      <c r="J85" s="44"/>
      <c r="K85" s="44"/>
    </row>
    <row r="86" spans="4:11" s="2" customFormat="1" x14ac:dyDescent="0.25">
      <c r="D86" s="44"/>
      <c r="E86" s="44"/>
      <c r="F86" s="44"/>
      <c r="G86" s="44"/>
      <c r="H86" s="44"/>
      <c r="I86" s="44"/>
      <c r="J86" s="44"/>
      <c r="K86" s="44"/>
    </row>
    <row r="87" spans="4:11" s="2" customFormat="1" x14ac:dyDescent="0.25">
      <c r="D87" s="44"/>
      <c r="E87" s="44"/>
      <c r="F87" s="44"/>
      <c r="G87" s="44"/>
      <c r="H87" s="44"/>
      <c r="I87" s="44"/>
      <c r="J87" s="44"/>
      <c r="K87" s="44"/>
    </row>
    <row r="88" spans="4:11" s="2" customFormat="1" x14ac:dyDescent="0.25">
      <c r="D88" s="44"/>
      <c r="E88" s="44"/>
      <c r="F88" s="44"/>
      <c r="G88" s="44"/>
      <c r="H88" s="44"/>
      <c r="I88" s="44"/>
      <c r="J88" s="44"/>
      <c r="K88" s="44"/>
    </row>
    <row r="89" spans="4:11" s="2" customFormat="1" x14ac:dyDescent="0.25">
      <c r="D89" s="44"/>
      <c r="E89" s="44"/>
      <c r="F89" s="44"/>
      <c r="G89" s="44"/>
      <c r="H89" s="44"/>
      <c r="I89" s="44"/>
      <c r="J89" s="44"/>
      <c r="K89" s="44"/>
    </row>
    <row r="90" spans="4:11" s="2" customFormat="1" x14ac:dyDescent="0.25">
      <c r="D90" s="44"/>
      <c r="E90" s="44"/>
      <c r="F90" s="44"/>
      <c r="G90" s="44"/>
      <c r="H90" s="44"/>
      <c r="I90" s="44"/>
      <c r="J90" s="44"/>
      <c r="K90" s="44"/>
    </row>
    <row r="91" spans="4:11" s="2" customFormat="1" x14ac:dyDescent="0.25">
      <c r="D91" s="44"/>
      <c r="E91" s="44"/>
      <c r="F91" s="44"/>
      <c r="G91" s="44"/>
      <c r="H91" s="44"/>
      <c r="I91" s="44"/>
      <c r="J91" s="44"/>
      <c r="K91" s="44"/>
    </row>
    <row r="92" spans="4:11" s="2" customFormat="1" x14ac:dyDescent="0.25">
      <c r="D92" s="44"/>
      <c r="E92" s="44"/>
      <c r="F92" s="44"/>
      <c r="G92" s="44"/>
      <c r="H92" s="44"/>
      <c r="I92" s="44"/>
      <c r="J92" s="44"/>
      <c r="K92" s="44"/>
    </row>
    <row r="93" spans="4:11" s="2" customFormat="1" x14ac:dyDescent="0.25">
      <c r="D93" s="44"/>
      <c r="E93" s="44"/>
      <c r="F93" s="44"/>
      <c r="G93" s="44"/>
      <c r="H93" s="44"/>
      <c r="I93" s="44"/>
      <c r="J93" s="44"/>
      <c r="K93" s="44"/>
    </row>
    <row r="94" spans="4:11" s="2" customFormat="1" x14ac:dyDescent="0.25">
      <c r="D94" s="44"/>
      <c r="E94" s="44"/>
      <c r="F94" s="44"/>
      <c r="G94" s="44"/>
      <c r="H94" s="44"/>
      <c r="I94" s="44"/>
      <c r="J94" s="44"/>
      <c r="K94" s="44"/>
    </row>
    <row r="95" spans="4:11" s="2" customFormat="1" x14ac:dyDescent="0.25">
      <c r="D95" s="44"/>
      <c r="E95" s="44"/>
      <c r="F95" s="44"/>
      <c r="G95" s="44"/>
      <c r="H95" s="44"/>
      <c r="I95" s="44"/>
      <c r="J95" s="44"/>
      <c r="K95" s="44"/>
    </row>
    <row r="96" spans="4:11" s="2" customFormat="1" x14ac:dyDescent="0.25">
      <c r="D96" s="44"/>
      <c r="E96" s="44"/>
      <c r="F96" s="44"/>
      <c r="G96" s="44"/>
      <c r="H96" s="44"/>
      <c r="I96" s="44"/>
      <c r="J96" s="44"/>
      <c r="K96" s="44"/>
    </row>
    <row r="97" spans="4:11" s="2" customFormat="1" x14ac:dyDescent="0.25">
      <c r="D97" s="44"/>
      <c r="E97" s="44"/>
      <c r="F97" s="44"/>
      <c r="G97" s="44"/>
      <c r="H97" s="44"/>
      <c r="I97" s="44"/>
      <c r="J97" s="44"/>
      <c r="K97" s="44"/>
    </row>
    <row r="98" spans="4:11" s="2" customFormat="1" x14ac:dyDescent="0.25">
      <c r="D98" s="44"/>
      <c r="E98" s="44"/>
      <c r="F98" s="44"/>
      <c r="G98" s="44"/>
      <c r="H98" s="44"/>
      <c r="I98" s="44"/>
      <c r="J98" s="44"/>
      <c r="K98" s="44"/>
    </row>
    <row r="99" spans="4:11" s="2" customFormat="1" x14ac:dyDescent="0.25">
      <c r="D99" s="44"/>
      <c r="E99" s="44"/>
      <c r="F99" s="44"/>
      <c r="G99" s="44"/>
      <c r="H99" s="44"/>
      <c r="I99" s="44"/>
      <c r="J99" s="44"/>
      <c r="K99" s="44"/>
    </row>
    <row r="100" spans="4:11" s="2" customFormat="1" x14ac:dyDescent="0.25">
      <c r="D100" s="44"/>
      <c r="E100" s="44"/>
      <c r="F100" s="44"/>
      <c r="G100" s="44"/>
      <c r="H100" s="44"/>
      <c r="I100" s="44"/>
      <c r="J100" s="44"/>
      <c r="K100" s="44"/>
    </row>
    <row r="101" spans="4:11" s="2" customFormat="1" x14ac:dyDescent="0.25">
      <c r="D101" s="44"/>
      <c r="E101" s="44"/>
      <c r="F101" s="44"/>
      <c r="G101" s="44"/>
      <c r="H101" s="44"/>
      <c r="I101" s="44"/>
      <c r="J101" s="44"/>
      <c r="K101" s="44"/>
    </row>
    <row r="102" spans="4:11" s="2" customFormat="1" x14ac:dyDescent="0.25">
      <c r="D102" s="44"/>
      <c r="E102" s="44"/>
      <c r="F102" s="44"/>
      <c r="G102" s="44"/>
      <c r="H102" s="44"/>
      <c r="I102" s="44"/>
      <c r="J102" s="44"/>
      <c r="K102" s="44"/>
    </row>
    <row r="103" spans="4:11" s="2" customFormat="1" x14ac:dyDescent="0.25">
      <c r="D103" s="44"/>
      <c r="E103" s="44"/>
      <c r="F103" s="44"/>
      <c r="G103" s="44"/>
      <c r="H103" s="44"/>
      <c r="I103" s="44"/>
      <c r="J103" s="44"/>
      <c r="K103" s="44"/>
    </row>
    <row r="104" spans="4:11" s="2" customFormat="1" x14ac:dyDescent="0.25">
      <c r="D104" s="44"/>
      <c r="E104" s="44"/>
      <c r="F104" s="44"/>
      <c r="G104" s="44"/>
      <c r="H104" s="44"/>
      <c r="I104" s="44"/>
      <c r="J104" s="44"/>
      <c r="K104" s="44"/>
    </row>
    <row r="105" spans="4:11" s="2" customFormat="1" x14ac:dyDescent="0.25">
      <c r="D105" s="44"/>
      <c r="E105" s="44"/>
      <c r="F105" s="44"/>
      <c r="G105" s="44"/>
      <c r="H105" s="44"/>
      <c r="I105" s="44"/>
      <c r="J105" s="44"/>
      <c r="K105" s="44"/>
    </row>
    <row r="106" spans="4:11" s="2" customFormat="1" x14ac:dyDescent="0.25">
      <c r="D106" s="44"/>
      <c r="E106" s="44"/>
      <c r="F106" s="44"/>
      <c r="G106" s="44"/>
      <c r="H106" s="44"/>
      <c r="I106" s="44"/>
      <c r="J106" s="44"/>
      <c r="K106" s="44"/>
    </row>
    <row r="107" spans="4:11" s="2" customFormat="1" x14ac:dyDescent="0.25">
      <c r="D107" s="44"/>
      <c r="E107" s="44"/>
      <c r="F107" s="44"/>
      <c r="G107" s="44"/>
      <c r="H107" s="44"/>
      <c r="I107" s="44"/>
      <c r="J107" s="44"/>
      <c r="K107" s="44"/>
    </row>
    <row r="108" spans="4:11" s="2" customFormat="1" x14ac:dyDescent="0.25">
      <c r="D108" s="44"/>
      <c r="E108" s="44"/>
      <c r="F108" s="44"/>
      <c r="G108" s="44"/>
      <c r="H108" s="44"/>
      <c r="I108" s="44"/>
      <c r="J108" s="44"/>
      <c r="K108" s="44"/>
    </row>
    <row r="109" spans="4:11" s="2" customFormat="1" x14ac:dyDescent="0.25">
      <c r="D109" s="44"/>
      <c r="E109" s="44"/>
      <c r="F109" s="44"/>
      <c r="G109" s="44"/>
      <c r="H109" s="44"/>
      <c r="I109" s="44"/>
      <c r="J109" s="44"/>
      <c r="K109" s="44"/>
    </row>
    <row r="110" spans="4:11" s="2" customFormat="1" x14ac:dyDescent="0.25">
      <c r="D110" s="44"/>
      <c r="E110" s="44"/>
      <c r="F110" s="44"/>
      <c r="G110" s="44"/>
      <c r="H110" s="44"/>
      <c r="I110" s="44"/>
      <c r="J110" s="44"/>
      <c r="K110" s="44"/>
    </row>
    <row r="111" spans="4:11" s="2" customFormat="1" x14ac:dyDescent="0.25">
      <c r="D111" s="44"/>
      <c r="E111" s="44"/>
      <c r="F111" s="44"/>
      <c r="G111" s="44"/>
      <c r="H111" s="44"/>
      <c r="I111" s="44"/>
      <c r="J111" s="44"/>
      <c r="K111" s="44"/>
    </row>
    <row r="112" spans="4:11" s="2" customFormat="1" x14ac:dyDescent="0.25">
      <c r="D112" s="44"/>
      <c r="E112" s="44"/>
      <c r="F112" s="44"/>
      <c r="G112" s="44"/>
      <c r="H112" s="44"/>
      <c r="I112" s="44"/>
      <c r="J112" s="44"/>
      <c r="K112" s="44"/>
    </row>
    <row r="113" spans="4:11" s="2" customFormat="1" x14ac:dyDescent="0.25">
      <c r="D113" s="44"/>
      <c r="E113" s="44"/>
      <c r="F113" s="44"/>
      <c r="G113" s="44"/>
      <c r="H113" s="44"/>
      <c r="I113" s="44"/>
      <c r="J113" s="44"/>
      <c r="K113" s="44"/>
    </row>
    <row r="114" spans="4:11" s="2" customFormat="1" x14ac:dyDescent="0.25">
      <c r="D114" s="44"/>
      <c r="E114" s="44"/>
      <c r="F114" s="44"/>
      <c r="G114" s="44"/>
      <c r="H114" s="44"/>
      <c r="I114" s="44"/>
      <c r="J114" s="44"/>
      <c r="K114" s="44"/>
    </row>
    <row r="115" spans="4:11" s="2" customFormat="1" x14ac:dyDescent="0.25">
      <c r="D115" s="44"/>
      <c r="E115" s="44"/>
      <c r="F115" s="44"/>
      <c r="G115" s="44"/>
      <c r="H115" s="44"/>
      <c r="I115" s="44"/>
      <c r="J115" s="44"/>
      <c r="K115" s="44"/>
    </row>
    <row r="116" spans="4:11" s="2" customFormat="1" x14ac:dyDescent="0.25">
      <c r="D116" s="44"/>
      <c r="E116" s="44"/>
      <c r="F116" s="44"/>
      <c r="G116" s="44"/>
      <c r="H116" s="44"/>
      <c r="I116" s="44"/>
      <c r="J116" s="44"/>
      <c r="K116" s="44"/>
    </row>
    <row r="117" spans="4:11" s="2" customFormat="1" x14ac:dyDescent="0.25">
      <c r="D117" s="44"/>
      <c r="E117" s="44"/>
      <c r="F117" s="44"/>
      <c r="G117" s="44"/>
      <c r="H117" s="44"/>
      <c r="I117" s="44"/>
      <c r="J117" s="44"/>
      <c r="K117" s="44"/>
    </row>
    <row r="118" spans="4:11" s="2" customFormat="1" x14ac:dyDescent="0.25">
      <c r="D118" s="44"/>
      <c r="E118" s="44"/>
      <c r="F118" s="44"/>
      <c r="G118" s="44"/>
      <c r="H118" s="44"/>
      <c r="I118" s="44"/>
      <c r="J118" s="44"/>
      <c r="K118" s="44"/>
    </row>
    <row r="119" spans="4:11" s="2" customFormat="1" x14ac:dyDescent="0.25">
      <c r="D119" s="44"/>
      <c r="E119" s="44"/>
      <c r="F119" s="44"/>
      <c r="G119" s="44"/>
      <c r="H119" s="44"/>
      <c r="I119" s="44"/>
      <c r="J119" s="44"/>
      <c r="K119" s="44"/>
    </row>
    <row r="120" spans="4:11" s="2" customFormat="1" x14ac:dyDescent="0.25">
      <c r="D120" s="44"/>
      <c r="E120" s="44"/>
      <c r="F120" s="44"/>
      <c r="G120" s="44"/>
      <c r="H120" s="44"/>
      <c r="I120" s="44"/>
      <c r="J120" s="44"/>
      <c r="K120" s="44"/>
    </row>
    <row r="121" spans="4:11" s="2" customFormat="1" x14ac:dyDescent="0.25">
      <c r="D121" s="44"/>
      <c r="E121" s="44"/>
      <c r="F121" s="44"/>
      <c r="G121" s="44"/>
      <c r="H121" s="44"/>
      <c r="I121" s="44"/>
      <c r="J121" s="44"/>
      <c r="K121" s="44"/>
    </row>
    <row r="122" spans="4:11" s="2" customFormat="1" x14ac:dyDescent="0.25">
      <c r="D122" s="44"/>
      <c r="E122" s="44"/>
      <c r="F122" s="44"/>
      <c r="G122" s="44"/>
      <c r="H122" s="44"/>
      <c r="I122" s="44"/>
      <c r="J122" s="44"/>
      <c r="K122" s="44"/>
    </row>
    <row r="123" spans="4:11" s="2" customFormat="1" x14ac:dyDescent="0.25">
      <c r="D123" s="44"/>
      <c r="E123" s="44"/>
      <c r="F123" s="44"/>
      <c r="G123" s="44"/>
      <c r="H123" s="44"/>
      <c r="I123" s="44"/>
      <c r="J123" s="44"/>
      <c r="K123" s="44"/>
    </row>
    <row r="124" spans="4:11" s="2" customFormat="1" x14ac:dyDescent="0.25">
      <c r="D124" s="44"/>
      <c r="E124" s="44"/>
      <c r="F124" s="44"/>
      <c r="G124" s="44"/>
      <c r="H124" s="44"/>
      <c r="I124" s="44"/>
      <c r="J124" s="44"/>
      <c r="K124" s="44"/>
    </row>
    <row r="125" spans="4:11" s="2" customFormat="1" x14ac:dyDescent="0.25">
      <c r="D125" s="44"/>
      <c r="E125" s="44"/>
      <c r="F125" s="44"/>
      <c r="G125" s="44"/>
      <c r="H125" s="44"/>
      <c r="I125" s="44"/>
      <c r="J125" s="44"/>
      <c r="K125" s="44"/>
    </row>
    <row r="126" spans="4:11" s="2" customFormat="1" x14ac:dyDescent="0.25">
      <c r="D126" s="44"/>
      <c r="E126" s="44"/>
      <c r="F126" s="44"/>
      <c r="G126" s="44"/>
      <c r="H126" s="44"/>
      <c r="I126" s="44"/>
      <c r="J126" s="44"/>
      <c r="K126" s="44"/>
    </row>
    <row r="127" spans="4:11" s="2" customFormat="1" x14ac:dyDescent="0.25">
      <c r="D127" s="44"/>
      <c r="E127" s="44"/>
      <c r="F127" s="44"/>
      <c r="G127" s="44"/>
      <c r="H127" s="44"/>
      <c r="I127" s="44"/>
      <c r="J127" s="44"/>
      <c r="K127" s="44"/>
    </row>
    <row r="128" spans="4:11" s="2" customFormat="1" x14ac:dyDescent="0.25">
      <c r="D128" s="44"/>
      <c r="E128" s="44"/>
      <c r="F128" s="44"/>
      <c r="G128" s="44"/>
      <c r="H128" s="44"/>
      <c r="I128" s="44"/>
      <c r="J128" s="44"/>
      <c r="K128" s="44"/>
    </row>
    <row r="129" spans="4:11" s="2" customFormat="1" x14ac:dyDescent="0.25">
      <c r="D129" s="44"/>
      <c r="E129" s="44"/>
      <c r="F129" s="44"/>
      <c r="G129" s="44"/>
      <c r="H129" s="44"/>
      <c r="I129" s="44"/>
      <c r="J129" s="44"/>
      <c r="K129" s="44"/>
    </row>
    <row r="130" spans="4:11" s="2" customFormat="1" x14ac:dyDescent="0.25">
      <c r="D130" s="44"/>
      <c r="E130" s="44"/>
      <c r="F130" s="44"/>
      <c r="G130" s="44"/>
      <c r="H130" s="44"/>
      <c r="I130" s="44"/>
      <c r="J130" s="44"/>
      <c r="K130" s="44"/>
    </row>
    <row r="131" spans="4:11" s="2" customFormat="1" x14ac:dyDescent="0.25">
      <c r="D131" s="44"/>
      <c r="E131" s="44"/>
      <c r="F131" s="44"/>
      <c r="G131" s="44"/>
      <c r="H131" s="44"/>
      <c r="I131" s="44"/>
      <c r="J131" s="44"/>
      <c r="K131" s="44"/>
    </row>
    <row r="132" spans="4:11" s="2" customFormat="1" x14ac:dyDescent="0.25">
      <c r="D132" s="44"/>
      <c r="E132" s="44"/>
      <c r="F132" s="44"/>
      <c r="G132" s="44"/>
      <c r="H132" s="44"/>
      <c r="I132" s="44"/>
      <c r="J132" s="44"/>
      <c r="K132" s="44"/>
    </row>
    <row r="133" spans="4:11" s="2" customFormat="1" x14ac:dyDescent="0.25">
      <c r="D133" s="44"/>
      <c r="E133" s="44"/>
      <c r="F133" s="44"/>
      <c r="G133" s="44"/>
      <c r="H133" s="44"/>
      <c r="I133" s="44"/>
      <c r="J133" s="44"/>
      <c r="K133" s="44"/>
    </row>
    <row r="134" spans="4:11" s="2" customFormat="1" x14ac:dyDescent="0.25">
      <c r="D134" s="44"/>
      <c r="E134" s="44"/>
      <c r="F134" s="44"/>
      <c r="G134" s="44"/>
      <c r="H134" s="44"/>
      <c r="I134" s="44"/>
      <c r="J134" s="44"/>
      <c r="K134" s="44"/>
    </row>
    <row r="135" spans="4:11" s="2" customFormat="1" x14ac:dyDescent="0.25">
      <c r="D135" s="44"/>
      <c r="E135" s="44"/>
      <c r="F135" s="44"/>
      <c r="G135" s="44"/>
      <c r="H135" s="44"/>
      <c r="I135" s="44"/>
      <c r="J135" s="44"/>
      <c r="K135" s="44"/>
    </row>
    <row r="136" spans="4:11" s="2" customFormat="1" x14ac:dyDescent="0.25">
      <c r="D136" s="44"/>
      <c r="E136" s="44"/>
      <c r="F136" s="44"/>
      <c r="G136" s="44"/>
      <c r="H136" s="44"/>
      <c r="I136" s="44"/>
      <c r="J136" s="44"/>
      <c r="K136" s="44"/>
    </row>
    <row r="137" spans="4:11" s="2" customFormat="1" x14ac:dyDescent="0.25">
      <c r="D137" s="44"/>
      <c r="E137" s="44"/>
      <c r="F137" s="44"/>
      <c r="G137" s="44"/>
      <c r="H137" s="44"/>
      <c r="I137" s="44"/>
      <c r="J137" s="44"/>
      <c r="K137" s="44"/>
    </row>
    <row r="138" spans="4:11" s="2" customFormat="1" x14ac:dyDescent="0.25">
      <c r="D138" s="44"/>
      <c r="E138" s="44"/>
      <c r="F138" s="44"/>
      <c r="G138" s="44"/>
      <c r="H138" s="44"/>
      <c r="I138" s="44"/>
      <c r="J138" s="44"/>
      <c r="K138" s="44"/>
    </row>
    <row r="139" spans="4:11" s="2" customFormat="1" x14ac:dyDescent="0.25">
      <c r="D139" s="46"/>
      <c r="E139" s="44"/>
      <c r="F139" s="44"/>
      <c r="G139" s="266"/>
      <c r="H139" s="266"/>
      <c r="I139" s="266"/>
      <c r="J139" s="64"/>
      <c r="K139" s="47"/>
    </row>
    <row r="140" spans="4:11" s="2" customFormat="1" x14ac:dyDescent="0.25">
      <c r="D140" s="46"/>
      <c r="E140" s="44"/>
      <c r="F140" s="44"/>
      <c r="G140" s="266"/>
      <c r="H140" s="266"/>
      <c r="I140" s="266"/>
      <c r="J140" s="64"/>
      <c r="K140" s="47"/>
    </row>
    <row r="141" spans="4:11" s="2" customFormat="1" x14ac:dyDescent="0.25">
      <c r="D141" s="46"/>
      <c r="E141" s="44"/>
      <c r="F141" s="44"/>
      <c r="G141" s="266"/>
      <c r="H141" s="266"/>
      <c r="I141" s="266"/>
      <c r="J141" s="64"/>
      <c r="K141" s="47"/>
    </row>
    <row r="142" spans="4:11" s="2" customFormat="1" x14ac:dyDescent="0.25">
      <c r="D142" s="46"/>
      <c r="E142" s="44"/>
      <c r="F142" s="44"/>
      <c r="G142" s="266"/>
      <c r="H142" s="266"/>
      <c r="I142" s="266"/>
      <c r="J142" s="64"/>
      <c r="K142" s="47"/>
    </row>
    <row r="143" spans="4:11" s="2" customFormat="1" x14ac:dyDescent="0.25">
      <c r="D143" s="46"/>
      <c r="E143" s="44"/>
      <c r="F143" s="44"/>
      <c r="G143" s="266"/>
      <c r="H143" s="266"/>
      <c r="I143" s="266"/>
      <c r="J143" s="64"/>
      <c r="K143" s="47"/>
    </row>
    <row r="144" spans="4:11" s="2" customFormat="1" x14ac:dyDescent="0.25">
      <c r="D144" s="46"/>
      <c r="E144" s="44"/>
      <c r="F144" s="44"/>
      <c r="G144" s="266"/>
      <c r="H144" s="266"/>
      <c r="I144" s="266"/>
      <c r="J144" s="64"/>
      <c r="K144" s="47"/>
    </row>
    <row r="145" spans="4:11" s="2" customFormat="1" x14ac:dyDescent="0.25">
      <c r="D145" s="46"/>
      <c r="E145" s="44"/>
      <c r="F145" s="44"/>
      <c r="G145" s="266"/>
      <c r="H145" s="266"/>
      <c r="I145" s="266"/>
      <c r="J145" s="64"/>
      <c r="K145" s="47"/>
    </row>
    <row r="146" spans="4:11" s="2" customFormat="1" x14ac:dyDescent="0.25">
      <c r="D146" s="46"/>
      <c r="E146" s="44"/>
      <c r="F146" s="44"/>
      <c r="G146" s="266"/>
      <c r="H146" s="266"/>
      <c r="I146" s="266"/>
      <c r="J146" s="64"/>
      <c r="K146" s="47"/>
    </row>
    <row r="147" spans="4:11" s="2" customFormat="1" x14ac:dyDescent="0.25">
      <c r="D147" s="46"/>
      <c r="E147" s="44"/>
      <c r="F147" s="44"/>
      <c r="G147" s="266"/>
      <c r="H147" s="266"/>
      <c r="I147" s="266"/>
      <c r="J147" s="64"/>
      <c r="K147" s="47"/>
    </row>
    <row r="148" spans="4:11" s="2" customFormat="1" x14ac:dyDescent="0.25">
      <c r="D148" s="46"/>
      <c r="E148" s="44"/>
      <c r="F148" s="44"/>
      <c r="G148" s="266"/>
      <c r="H148" s="266"/>
      <c r="I148" s="266"/>
      <c r="J148" s="64"/>
      <c r="K148" s="47"/>
    </row>
    <row r="149" spans="4:11" s="2" customFormat="1" x14ac:dyDescent="0.25">
      <c r="D149" s="46"/>
      <c r="E149" s="44"/>
      <c r="F149" s="44"/>
      <c r="G149" s="266"/>
      <c r="H149" s="266"/>
      <c r="I149" s="266"/>
      <c r="J149" s="64"/>
      <c r="K149" s="47"/>
    </row>
    <row r="150" spans="4:11" s="2" customFormat="1" x14ac:dyDescent="0.25">
      <c r="D150" s="46"/>
      <c r="E150" s="44"/>
      <c r="F150" s="44"/>
      <c r="G150" s="266"/>
      <c r="H150" s="266"/>
      <c r="I150" s="266"/>
      <c r="J150" s="64"/>
      <c r="K150" s="47"/>
    </row>
    <row r="151" spans="4:11" s="2" customFormat="1" x14ac:dyDescent="0.25">
      <c r="D151" s="46"/>
      <c r="E151" s="44"/>
      <c r="F151" s="44"/>
      <c r="G151" s="266"/>
      <c r="H151" s="266"/>
      <c r="I151" s="266"/>
      <c r="J151" s="64"/>
      <c r="K151" s="47"/>
    </row>
    <row r="152" spans="4:11" s="2" customFormat="1" x14ac:dyDescent="0.25">
      <c r="D152" s="46"/>
      <c r="E152" s="44"/>
      <c r="F152" s="44"/>
      <c r="G152" s="266"/>
      <c r="H152" s="266"/>
      <c r="I152" s="266"/>
      <c r="J152" s="64"/>
      <c r="K152" s="47"/>
    </row>
    <row r="153" spans="4:11" s="2" customFormat="1" x14ac:dyDescent="0.25">
      <c r="D153" s="46"/>
      <c r="E153" s="44"/>
      <c r="F153" s="44"/>
      <c r="G153" s="266"/>
      <c r="H153" s="266"/>
      <c r="I153" s="266"/>
      <c r="J153" s="64"/>
      <c r="K153" s="47"/>
    </row>
    <row r="154" spans="4:11" s="2" customFormat="1" x14ac:dyDescent="0.25">
      <c r="D154" s="46"/>
      <c r="E154" s="44"/>
      <c r="F154" s="44"/>
      <c r="G154" s="266"/>
      <c r="H154" s="266"/>
      <c r="I154" s="266"/>
      <c r="J154" s="64"/>
      <c r="K154" s="47"/>
    </row>
    <row r="155" spans="4:11" s="2" customFormat="1" x14ac:dyDescent="0.25">
      <c r="D155" s="46"/>
      <c r="E155" s="44"/>
      <c r="F155" s="44"/>
      <c r="G155" s="266"/>
      <c r="H155" s="266"/>
      <c r="I155" s="266"/>
      <c r="J155" s="64"/>
      <c r="K155" s="47"/>
    </row>
    <row r="156" spans="4:11" s="2" customFormat="1" x14ac:dyDescent="0.25">
      <c r="D156" s="46"/>
      <c r="E156" s="44"/>
      <c r="F156" s="44"/>
      <c r="G156" s="266"/>
      <c r="H156" s="266"/>
      <c r="I156" s="266"/>
      <c r="J156" s="64"/>
      <c r="K156" s="47"/>
    </row>
    <row r="157" spans="4:11" s="2" customFormat="1" x14ac:dyDescent="0.25">
      <c r="D157" s="46"/>
      <c r="E157" s="44"/>
      <c r="F157" s="44"/>
      <c r="G157" s="266"/>
      <c r="H157" s="266"/>
      <c r="I157" s="266"/>
      <c r="J157" s="64"/>
      <c r="K157" s="47"/>
    </row>
    <row r="158" spans="4:11" s="2" customFormat="1" x14ac:dyDescent="0.25">
      <c r="D158" s="46"/>
      <c r="E158" s="44"/>
      <c r="F158" s="44"/>
      <c r="G158" s="266"/>
      <c r="H158" s="266"/>
      <c r="I158" s="266"/>
      <c r="J158" s="64"/>
      <c r="K158" s="47"/>
    </row>
    <row r="159" spans="4:11" s="2" customFormat="1" x14ac:dyDescent="0.25">
      <c r="D159" s="46"/>
      <c r="E159" s="44"/>
      <c r="F159" s="44"/>
      <c r="G159" s="266"/>
      <c r="H159" s="266"/>
      <c r="I159" s="266"/>
      <c r="J159" s="64"/>
      <c r="K159" s="47"/>
    </row>
    <row r="160" spans="4:11" s="2" customFormat="1" x14ac:dyDescent="0.25">
      <c r="D160" s="46"/>
      <c r="E160" s="44"/>
      <c r="F160" s="44"/>
      <c r="G160" s="266"/>
      <c r="H160" s="266"/>
      <c r="I160" s="266"/>
      <c r="J160" s="64"/>
      <c r="K160" s="47"/>
    </row>
    <row r="161" spans="4:11" s="2" customFormat="1" x14ac:dyDescent="0.25">
      <c r="D161" s="46"/>
      <c r="E161" s="44"/>
      <c r="F161" s="44"/>
      <c r="G161" s="266"/>
      <c r="H161" s="266"/>
      <c r="I161" s="266"/>
      <c r="J161" s="64"/>
      <c r="K161" s="47"/>
    </row>
    <row r="162" spans="4:11" s="2" customFormat="1" x14ac:dyDescent="0.25">
      <c r="D162" s="46"/>
      <c r="E162" s="44"/>
      <c r="F162" s="44"/>
      <c r="G162" s="266"/>
      <c r="H162" s="266"/>
      <c r="I162" s="266"/>
      <c r="J162" s="64"/>
      <c r="K162" s="47"/>
    </row>
    <row r="163" spans="4:11" s="2" customFormat="1" x14ac:dyDescent="0.25">
      <c r="D163" s="46"/>
      <c r="E163" s="44"/>
      <c r="F163" s="44"/>
      <c r="G163" s="266"/>
      <c r="H163" s="266"/>
      <c r="I163" s="266"/>
      <c r="J163" s="64"/>
      <c r="K163" s="47"/>
    </row>
    <row r="164" spans="4:11" s="2" customFormat="1" x14ac:dyDescent="0.25">
      <c r="D164" s="46"/>
      <c r="E164" s="44"/>
      <c r="F164" s="44"/>
      <c r="G164" s="266"/>
      <c r="H164" s="266"/>
      <c r="I164" s="266"/>
      <c r="J164" s="64"/>
      <c r="K164" s="47"/>
    </row>
    <row r="165" spans="4:11" s="2" customFormat="1" x14ac:dyDescent="0.25">
      <c r="D165" s="46"/>
      <c r="E165" s="44"/>
      <c r="F165" s="44"/>
      <c r="G165" s="266"/>
      <c r="H165" s="266"/>
      <c r="I165" s="266"/>
      <c r="J165" s="64"/>
      <c r="K165" s="47"/>
    </row>
    <row r="166" spans="4:11" s="2" customFormat="1" x14ac:dyDescent="0.25">
      <c r="D166" s="46"/>
      <c r="E166" s="44"/>
      <c r="F166" s="44"/>
      <c r="G166" s="266"/>
      <c r="H166" s="266"/>
      <c r="I166" s="266"/>
      <c r="J166" s="64"/>
      <c r="K166" s="47"/>
    </row>
    <row r="167" spans="4:11" s="2" customFormat="1" x14ac:dyDescent="0.25">
      <c r="D167" s="46"/>
      <c r="E167" s="44"/>
      <c r="F167" s="44"/>
      <c r="G167" s="266"/>
      <c r="H167" s="266"/>
      <c r="I167" s="266"/>
      <c r="J167" s="64"/>
      <c r="K167" s="47"/>
    </row>
    <row r="168" spans="4:11" s="2" customFormat="1" x14ac:dyDescent="0.25">
      <c r="D168" s="46"/>
      <c r="E168" s="44"/>
      <c r="F168" s="44"/>
      <c r="G168" s="266"/>
      <c r="H168" s="266"/>
      <c r="I168" s="266"/>
      <c r="J168" s="64"/>
      <c r="K168" s="47"/>
    </row>
    <row r="169" spans="4:11" s="2" customFormat="1" x14ac:dyDescent="0.25">
      <c r="D169" s="46"/>
      <c r="E169" s="44"/>
      <c r="F169" s="44"/>
      <c r="G169" s="266"/>
      <c r="H169" s="266"/>
      <c r="I169" s="266"/>
      <c r="J169" s="64"/>
      <c r="K169" s="47"/>
    </row>
    <row r="170" spans="4:11" s="2" customFormat="1" x14ac:dyDescent="0.25">
      <c r="D170" s="46"/>
      <c r="E170" s="44"/>
      <c r="F170" s="44"/>
      <c r="G170" s="266"/>
      <c r="H170" s="266"/>
      <c r="I170" s="266"/>
      <c r="J170" s="64"/>
      <c r="K170" s="47"/>
    </row>
    <row r="171" spans="4:11" s="2" customFormat="1" x14ac:dyDescent="0.25">
      <c r="D171" s="46"/>
      <c r="E171" s="44"/>
      <c r="F171" s="44"/>
      <c r="G171" s="266"/>
      <c r="H171" s="266"/>
      <c r="I171" s="266"/>
      <c r="J171" s="64"/>
      <c r="K171" s="47"/>
    </row>
    <row r="172" spans="4:11" s="2" customFormat="1" x14ac:dyDescent="0.25">
      <c r="D172" s="46"/>
      <c r="E172" s="44"/>
      <c r="F172" s="44"/>
      <c r="G172" s="266"/>
      <c r="H172" s="266"/>
      <c r="I172" s="266"/>
      <c r="J172" s="64"/>
      <c r="K172" s="47"/>
    </row>
    <row r="173" spans="4:11" s="2" customFormat="1" x14ac:dyDescent="0.25">
      <c r="D173" s="46"/>
      <c r="E173" s="44"/>
      <c r="F173" s="44"/>
      <c r="G173" s="266"/>
      <c r="H173" s="266"/>
      <c r="I173" s="266"/>
      <c r="J173" s="64"/>
      <c r="K173" s="47"/>
    </row>
    <row r="174" spans="4:11" s="2" customFormat="1" x14ac:dyDescent="0.25">
      <c r="D174" s="46"/>
      <c r="E174" s="44"/>
      <c r="F174" s="44"/>
      <c r="G174" s="266"/>
      <c r="H174" s="266"/>
      <c r="I174" s="266"/>
      <c r="J174" s="64"/>
      <c r="K174" s="47"/>
    </row>
    <row r="175" spans="4:11" s="2" customFormat="1" x14ac:dyDescent="0.25">
      <c r="D175" s="46"/>
      <c r="E175" s="44"/>
      <c r="F175" s="44"/>
      <c r="G175" s="266"/>
      <c r="H175" s="266"/>
      <c r="I175" s="266"/>
      <c r="J175" s="64"/>
      <c r="K175" s="47"/>
    </row>
    <row r="176" spans="4:11" s="2" customFormat="1" x14ac:dyDescent="0.25">
      <c r="D176" s="46"/>
      <c r="E176" s="44"/>
      <c r="F176" s="44"/>
      <c r="G176" s="266"/>
      <c r="H176" s="266"/>
      <c r="I176" s="266"/>
      <c r="J176" s="64"/>
      <c r="K176" s="47"/>
    </row>
    <row r="177" spans="4:11" s="2" customFormat="1" x14ac:dyDescent="0.25">
      <c r="D177" s="46"/>
      <c r="E177" s="44"/>
      <c r="F177" s="44"/>
      <c r="G177" s="266"/>
      <c r="H177" s="266"/>
      <c r="I177" s="266"/>
      <c r="J177" s="64"/>
      <c r="K177" s="47"/>
    </row>
    <row r="178" spans="4:11" s="2" customFormat="1" x14ac:dyDescent="0.25">
      <c r="D178" s="46"/>
      <c r="E178" s="44"/>
      <c r="F178" s="44"/>
      <c r="G178" s="266"/>
      <c r="H178" s="266"/>
      <c r="I178" s="266"/>
      <c r="J178" s="64"/>
      <c r="K178" s="47"/>
    </row>
    <row r="179" spans="4:11" s="2" customFormat="1" x14ac:dyDescent="0.25">
      <c r="D179" s="46"/>
      <c r="E179" s="44"/>
      <c r="F179" s="44"/>
      <c r="G179" s="266"/>
      <c r="H179" s="266"/>
      <c r="I179" s="266"/>
      <c r="J179" s="64"/>
      <c r="K179" s="47"/>
    </row>
    <row r="180" spans="4:11" s="2" customFormat="1" x14ac:dyDescent="0.25">
      <c r="D180" s="46"/>
      <c r="E180" s="44"/>
      <c r="F180" s="44"/>
      <c r="G180" s="266"/>
      <c r="H180" s="266"/>
      <c r="I180" s="266"/>
      <c r="J180" s="64"/>
      <c r="K180" s="47"/>
    </row>
    <row r="181" spans="4:11" s="2" customFormat="1" x14ac:dyDescent="0.25">
      <c r="D181" s="46"/>
      <c r="E181" s="44"/>
      <c r="F181" s="44"/>
      <c r="G181" s="266"/>
      <c r="H181" s="266"/>
      <c r="I181" s="266"/>
      <c r="J181" s="64"/>
      <c r="K181" s="47"/>
    </row>
    <row r="182" spans="4:11" s="2" customFormat="1" x14ac:dyDescent="0.25">
      <c r="D182" s="46"/>
      <c r="E182" s="44"/>
      <c r="F182" s="44"/>
      <c r="G182" s="266"/>
      <c r="H182" s="266"/>
      <c r="I182" s="266"/>
      <c r="J182" s="64"/>
      <c r="K182" s="47"/>
    </row>
    <row r="183" spans="4:11" s="2" customFormat="1" x14ac:dyDescent="0.25">
      <c r="D183" s="46"/>
      <c r="E183" s="44"/>
      <c r="F183" s="44"/>
      <c r="G183" s="266"/>
      <c r="H183" s="266"/>
      <c r="I183" s="266"/>
      <c r="J183" s="64"/>
      <c r="K183" s="47"/>
    </row>
    <row r="184" spans="4:11" s="2" customFormat="1" x14ac:dyDescent="0.25">
      <c r="D184" s="46"/>
      <c r="E184" s="44"/>
      <c r="F184" s="44"/>
      <c r="G184" s="266"/>
      <c r="H184" s="266"/>
      <c r="I184" s="266"/>
      <c r="J184" s="64"/>
      <c r="K184" s="47"/>
    </row>
    <row r="185" spans="4:11" s="2" customFormat="1" x14ac:dyDescent="0.25">
      <c r="D185" s="46"/>
      <c r="E185" s="44"/>
      <c r="F185" s="44"/>
      <c r="G185" s="266"/>
      <c r="H185" s="266"/>
      <c r="I185" s="266"/>
      <c r="J185" s="64"/>
      <c r="K185" s="47"/>
    </row>
    <row r="186" spans="4:11" s="2" customFormat="1" x14ac:dyDescent="0.25">
      <c r="D186" s="46"/>
      <c r="E186" s="44"/>
      <c r="F186" s="44"/>
      <c r="G186" s="266"/>
      <c r="H186" s="266"/>
      <c r="I186" s="266"/>
      <c r="J186" s="64"/>
      <c r="K186" s="47"/>
    </row>
    <row r="187" spans="4:11" s="2" customFormat="1" x14ac:dyDescent="0.25">
      <c r="D187" s="46"/>
      <c r="E187" s="44"/>
      <c r="F187" s="44"/>
      <c r="G187" s="266"/>
      <c r="H187" s="266"/>
      <c r="I187" s="266"/>
      <c r="J187" s="64"/>
      <c r="K187" s="47"/>
    </row>
    <row r="188" spans="4:11" s="2" customFormat="1" x14ac:dyDescent="0.25">
      <c r="D188" s="46"/>
      <c r="E188" s="44"/>
      <c r="F188" s="44"/>
      <c r="G188" s="266"/>
      <c r="H188" s="266"/>
      <c r="I188" s="266"/>
      <c r="J188" s="64"/>
      <c r="K188" s="47"/>
    </row>
    <row r="189" spans="4:11" s="2" customFormat="1" x14ac:dyDescent="0.25">
      <c r="D189" s="46"/>
      <c r="E189" s="44"/>
      <c r="F189" s="44"/>
      <c r="G189" s="266"/>
      <c r="H189" s="266"/>
      <c r="I189" s="266"/>
      <c r="J189" s="64"/>
      <c r="K189" s="47"/>
    </row>
    <row r="190" spans="4:11" s="2" customFormat="1" x14ac:dyDescent="0.25">
      <c r="D190" s="46"/>
      <c r="E190" s="44"/>
      <c r="F190" s="44"/>
      <c r="G190" s="266"/>
      <c r="H190" s="266"/>
      <c r="I190" s="266"/>
      <c r="J190" s="64"/>
      <c r="K190" s="47"/>
    </row>
    <row r="191" spans="4:11" s="2" customFormat="1" x14ac:dyDescent="0.25">
      <c r="D191" s="46"/>
      <c r="E191" s="44"/>
      <c r="F191" s="44"/>
      <c r="G191" s="266"/>
      <c r="H191" s="266"/>
      <c r="I191" s="266"/>
      <c r="J191" s="64"/>
      <c r="K191" s="47"/>
    </row>
    <row r="192" spans="4:11" s="2" customFormat="1" x14ac:dyDescent="0.25">
      <c r="D192" s="46"/>
      <c r="E192" s="44"/>
      <c r="F192" s="44"/>
      <c r="G192" s="266"/>
      <c r="H192" s="266"/>
      <c r="I192" s="266"/>
      <c r="J192" s="64"/>
      <c r="K192" s="47"/>
    </row>
    <row r="193" spans="4:11" s="2" customFormat="1" x14ac:dyDescent="0.25">
      <c r="D193" s="46"/>
      <c r="E193" s="44"/>
      <c r="F193" s="44"/>
      <c r="G193" s="266"/>
      <c r="H193" s="266"/>
      <c r="I193" s="266"/>
      <c r="J193" s="64"/>
      <c r="K193" s="47"/>
    </row>
    <row r="194" spans="4:11" s="2" customFormat="1" x14ac:dyDescent="0.25">
      <c r="D194" s="46"/>
      <c r="E194" s="44"/>
      <c r="F194" s="44"/>
      <c r="G194" s="266"/>
      <c r="H194" s="266"/>
      <c r="I194" s="266"/>
      <c r="J194" s="64"/>
      <c r="K194" s="47"/>
    </row>
    <row r="195" spans="4:11" s="2" customFormat="1" x14ac:dyDescent="0.25">
      <c r="D195" s="46"/>
      <c r="E195" s="44"/>
      <c r="F195" s="44"/>
      <c r="G195" s="266"/>
      <c r="H195" s="266"/>
      <c r="I195" s="266"/>
      <c r="J195" s="64"/>
      <c r="K195" s="47"/>
    </row>
    <row r="196" spans="4:11" s="2" customFormat="1" x14ac:dyDescent="0.25">
      <c r="D196" s="46"/>
      <c r="E196" s="44"/>
      <c r="F196" s="44"/>
      <c r="G196" s="266"/>
      <c r="H196" s="266"/>
      <c r="I196" s="266"/>
      <c r="J196" s="64"/>
      <c r="K196" s="47"/>
    </row>
    <row r="197" spans="4:11" s="2" customFormat="1" x14ac:dyDescent="0.25">
      <c r="D197" s="46"/>
      <c r="E197" s="44"/>
      <c r="F197" s="44"/>
      <c r="G197" s="266"/>
      <c r="H197" s="266"/>
      <c r="I197" s="266"/>
      <c r="J197" s="64"/>
      <c r="K197" s="47"/>
    </row>
    <row r="198" spans="4:11" s="2" customFormat="1" x14ac:dyDescent="0.25">
      <c r="D198" s="46"/>
      <c r="E198" s="44"/>
      <c r="F198" s="44"/>
      <c r="G198" s="266"/>
      <c r="H198" s="266"/>
      <c r="I198" s="266"/>
      <c r="J198" s="64"/>
      <c r="K198" s="47"/>
    </row>
    <row r="199" spans="4:11" s="2" customFormat="1" x14ac:dyDescent="0.25">
      <c r="D199" s="46"/>
      <c r="E199" s="44"/>
      <c r="F199" s="44"/>
      <c r="G199" s="266"/>
      <c r="H199" s="266"/>
      <c r="I199" s="266"/>
      <c r="J199" s="64"/>
      <c r="K199" s="47"/>
    </row>
    <row r="200" spans="4:11" s="2" customFormat="1" x14ac:dyDescent="0.25">
      <c r="D200" s="46"/>
      <c r="E200" s="44"/>
      <c r="F200" s="44"/>
      <c r="G200" s="266"/>
      <c r="H200" s="266"/>
      <c r="I200" s="266"/>
      <c r="J200" s="64"/>
      <c r="K200" s="47"/>
    </row>
    <row r="201" spans="4:11" s="2" customFormat="1" x14ac:dyDescent="0.25">
      <c r="D201" s="46"/>
      <c r="E201" s="44"/>
      <c r="F201" s="44"/>
      <c r="G201" s="266"/>
      <c r="H201" s="266"/>
      <c r="I201" s="266"/>
      <c r="J201" s="64"/>
      <c r="K201" s="47"/>
    </row>
    <row r="202" spans="4:11" s="2" customFormat="1" x14ac:dyDescent="0.25">
      <c r="D202" s="46"/>
      <c r="E202" s="44"/>
      <c r="F202" s="44"/>
      <c r="G202" s="266"/>
      <c r="H202" s="266"/>
      <c r="I202" s="266"/>
      <c r="J202" s="64"/>
      <c r="K202" s="47"/>
    </row>
    <row r="203" spans="4:11" s="2" customFormat="1" x14ac:dyDescent="0.25">
      <c r="D203" s="46"/>
      <c r="E203" s="44"/>
      <c r="F203" s="44"/>
      <c r="G203" s="266"/>
      <c r="H203" s="266"/>
      <c r="I203" s="266"/>
      <c r="J203" s="64"/>
      <c r="K203" s="47"/>
    </row>
    <row r="204" spans="4:11" s="2" customFormat="1" x14ac:dyDescent="0.25">
      <c r="D204" s="46"/>
      <c r="E204" s="44"/>
      <c r="F204" s="44"/>
      <c r="G204" s="266"/>
      <c r="H204" s="266"/>
      <c r="I204" s="266"/>
      <c r="J204" s="64"/>
      <c r="K204" s="47"/>
    </row>
    <row r="205" spans="4:11" s="2" customFormat="1" x14ac:dyDescent="0.25">
      <c r="D205" s="46"/>
      <c r="E205" s="44"/>
      <c r="F205" s="44"/>
      <c r="G205" s="266"/>
      <c r="H205" s="266"/>
      <c r="I205" s="266"/>
      <c r="J205" s="64"/>
      <c r="K205" s="47"/>
    </row>
    <row r="206" spans="4:11" s="2" customFormat="1" x14ac:dyDescent="0.25">
      <c r="D206" s="46"/>
      <c r="E206" s="44"/>
      <c r="F206" s="44"/>
      <c r="G206" s="266"/>
      <c r="H206" s="266"/>
      <c r="I206" s="266"/>
      <c r="J206" s="64"/>
      <c r="K206" s="47"/>
    </row>
    <row r="207" spans="4:11" s="2" customFormat="1" x14ac:dyDescent="0.25">
      <c r="D207" s="46"/>
      <c r="E207" s="44"/>
      <c r="F207" s="44"/>
      <c r="G207" s="266"/>
      <c r="H207" s="266"/>
      <c r="I207" s="266"/>
      <c r="J207" s="64"/>
      <c r="K207" s="47"/>
    </row>
    <row r="208" spans="4:11" s="2" customFormat="1" x14ac:dyDescent="0.25">
      <c r="D208" s="46"/>
      <c r="E208" s="44"/>
      <c r="F208" s="44"/>
      <c r="G208" s="266"/>
      <c r="H208" s="266"/>
      <c r="I208" s="266"/>
      <c r="J208" s="64"/>
      <c r="K208" s="47"/>
    </row>
    <row r="209" spans="4:11" s="2" customFormat="1" x14ac:dyDescent="0.25">
      <c r="D209" s="46"/>
      <c r="E209" s="44"/>
      <c r="F209" s="44"/>
      <c r="G209" s="266"/>
      <c r="H209" s="266"/>
      <c r="I209" s="266"/>
      <c r="J209" s="64"/>
      <c r="K209" s="47"/>
    </row>
    <row r="210" spans="4:11" s="2" customFormat="1" x14ac:dyDescent="0.25">
      <c r="D210" s="46"/>
      <c r="E210" s="44"/>
      <c r="F210" s="44"/>
      <c r="G210" s="266"/>
      <c r="H210" s="266"/>
      <c r="I210" s="266"/>
      <c r="J210" s="64"/>
      <c r="K210" s="47"/>
    </row>
    <row r="211" spans="4:11" s="2" customFormat="1" x14ac:dyDescent="0.25">
      <c r="D211" s="46"/>
      <c r="E211" s="44"/>
      <c r="F211" s="44"/>
      <c r="G211" s="266"/>
      <c r="H211" s="266"/>
      <c r="I211" s="266"/>
      <c r="J211" s="64"/>
      <c r="K211" s="47"/>
    </row>
    <row r="212" spans="4:11" s="2" customFormat="1" x14ac:dyDescent="0.25">
      <c r="D212" s="46"/>
      <c r="E212" s="44"/>
      <c r="F212" s="44"/>
      <c r="G212" s="266"/>
      <c r="H212" s="266"/>
      <c r="I212" s="266"/>
      <c r="J212" s="64"/>
      <c r="K212" s="47"/>
    </row>
    <row r="213" spans="4:11" s="2" customFormat="1" x14ac:dyDescent="0.25">
      <c r="D213" s="46"/>
      <c r="E213" s="44"/>
      <c r="F213" s="44"/>
      <c r="G213" s="266"/>
      <c r="H213" s="266"/>
      <c r="I213" s="266"/>
      <c r="J213" s="64"/>
      <c r="K213" s="47"/>
    </row>
    <row r="214" spans="4:11" s="2" customFormat="1" x14ac:dyDescent="0.25">
      <c r="D214" s="46"/>
      <c r="E214" s="44"/>
      <c r="F214" s="44"/>
      <c r="G214" s="266"/>
      <c r="H214" s="266"/>
      <c r="I214" s="266"/>
      <c r="J214" s="64"/>
      <c r="K214" s="47"/>
    </row>
    <row r="215" spans="4:11" s="2" customFormat="1" x14ac:dyDescent="0.25">
      <c r="D215" s="46"/>
      <c r="E215" s="44"/>
      <c r="F215" s="44"/>
      <c r="G215" s="266"/>
      <c r="H215" s="266"/>
      <c r="I215" s="266"/>
      <c r="J215" s="64"/>
      <c r="K215" s="47"/>
    </row>
    <row r="216" spans="4:11" s="2" customFormat="1" x14ac:dyDescent="0.25">
      <c r="D216" s="46"/>
      <c r="E216" s="44"/>
      <c r="F216" s="44"/>
      <c r="G216" s="266"/>
      <c r="H216" s="266"/>
      <c r="I216" s="266"/>
      <c r="J216" s="64"/>
      <c r="K216" s="47"/>
    </row>
    <row r="217" spans="4:11" s="2" customFormat="1" x14ac:dyDescent="0.25">
      <c r="D217" s="46"/>
      <c r="E217" s="44"/>
      <c r="F217" s="44"/>
      <c r="G217" s="266"/>
      <c r="H217" s="266"/>
      <c r="I217" s="266"/>
      <c r="J217" s="64"/>
      <c r="K217" s="47"/>
    </row>
    <row r="218" spans="4:11" s="2" customFormat="1" x14ac:dyDescent="0.25">
      <c r="D218" s="46"/>
      <c r="E218" s="44"/>
      <c r="F218" s="44"/>
      <c r="G218" s="266"/>
      <c r="H218" s="266"/>
      <c r="I218" s="266"/>
      <c r="J218" s="64"/>
      <c r="K218" s="47"/>
    </row>
    <row r="219" spans="4:11" s="2" customFormat="1" x14ac:dyDescent="0.25">
      <c r="D219" s="46"/>
      <c r="E219" s="44"/>
      <c r="F219" s="44"/>
      <c r="G219" s="266"/>
      <c r="H219" s="266"/>
      <c r="I219" s="266"/>
      <c r="J219" s="64"/>
      <c r="K219" s="47"/>
    </row>
    <row r="220" spans="4:11" s="2" customFormat="1" x14ac:dyDescent="0.25">
      <c r="D220" s="46"/>
      <c r="E220" s="44"/>
      <c r="F220" s="44"/>
      <c r="G220" s="266"/>
      <c r="H220" s="266"/>
      <c r="I220" s="266"/>
      <c r="J220" s="64"/>
      <c r="K220" s="47"/>
    </row>
    <row r="221" spans="4:11" s="2" customFormat="1" x14ac:dyDescent="0.25">
      <c r="D221" s="46"/>
      <c r="E221" s="44"/>
      <c r="F221" s="44"/>
      <c r="G221" s="266"/>
      <c r="H221" s="266"/>
      <c r="I221" s="266"/>
      <c r="J221" s="64"/>
      <c r="K221" s="47"/>
    </row>
    <row r="222" spans="4:11" s="2" customFormat="1" x14ac:dyDescent="0.25">
      <c r="D222" s="46"/>
      <c r="E222" s="44"/>
      <c r="F222" s="44"/>
      <c r="G222" s="266"/>
      <c r="H222" s="266"/>
      <c r="I222" s="266"/>
      <c r="J222" s="64"/>
      <c r="K222" s="47"/>
    </row>
    <row r="223" spans="4:11" s="2" customFormat="1" x14ac:dyDescent="0.25">
      <c r="D223" s="46"/>
      <c r="E223" s="44"/>
      <c r="F223" s="44"/>
      <c r="G223" s="266"/>
      <c r="H223" s="266"/>
      <c r="I223" s="266"/>
      <c r="J223" s="64"/>
      <c r="K223" s="47"/>
    </row>
    <row r="224" spans="4:11" s="2" customFormat="1" x14ac:dyDescent="0.25">
      <c r="D224" s="46"/>
      <c r="E224" s="44"/>
      <c r="F224" s="44"/>
      <c r="G224" s="266"/>
      <c r="H224" s="266"/>
      <c r="I224" s="266"/>
      <c r="J224" s="64"/>
      <c r="K224" s="47"/>
    </row>
    <row r="225" spans="4:11" s="2" customFormat="1" x14ac:dyDescent="0.25">
      <c r="D225" s="46"/>
      <c r="E225" s="44"/>
      <c r="F225" s="44"/>
      <c r="G225" s="266"/>
      <c r="H225" s="266"/>
      <c r="I225" s="266"/>
      <c r="J225" s="64"/>
      <c r="K225" s="47"/>
    </row>
    <row r="226" spans="4:11" s="2" customFormat="1" x14ac:dyDescent="0.25">
      <c r="D226" s="46"/>
      <c r="E226" s="44"/>
      <c r="F226" s="44"/>
      <c r="G226" s="266"/>
      <c r="H226" s="266"/>
      <c r="I226" s="266"/>
      <c r="J226" s="64"/>
      <c r="K226" s="47"/>
    </row>
    <row r="227" spans="4:11" s="2" customFormat="1" x14ac:dyDescent="0.25">
      <c r="D227" s="46"/>
      <c r="E227" s="44"/>
      <c r="F227" s="44"/>
      <c r="G227" s="266"/>
      <c r="H227" s="266"/>
      <c r="I227" s="266"/>
      <c r="J227" s="64"/>
      <c r="K227" s="47"/>
    </row>
    <row r="228" spans="4:11" s="2" customFormat="1" x14ac:dyDescent="0.25">
      <c r="D228" s="46"/>
      <c r="E228" s="44"/>
      <c r="F228" s="44"/>
      <c r="G228" s="266"/>
      <c r="H228" s="266"/>
      <c r="I228" s="266"/>
      <c r="J228" s="64"/>
      <c r="K228" s="47"/>
    </row>
    <row r="229" spans="4:11" s="2" customFormat="1" x14ac:dyDescent="0.25">
      <c r="D229" s="46"/>
      <c r="E229" s="44"/>
      <c r="F229" s="44"/>
      <c r="G229" s="266"/>
      <c r="H229" s="266"/>
      <c r="I229" s="266"/>
      <c r="J229" s="64"/>
      <c r="K229" s="47"/>
    </row>
    <row r="230" spans="4:11" s="2" customFormat="1" x14ac:dyDescent="0.25">
      <c r="D230" s="46"/>
      <c r="E230" s="44"/>
      <c r="F230" s="44"/>
      <c r="G230" s="266"/>
      <c r="H230" s="266"/>
      <c r="I230" s="266"/>
      <c r="J230" s="64"/>
      <c r="K230" s="47"/>
    </row>
    <row r="231" spans="4:11" s="2" customFormat="1" x14ac:dyDescent="0.25">
      <c r="D231" s="46"/>
      <c r="E231" s="44"/>
      <c r="F231" s="44"/>
      <c r="G231" s="266"/>
      <c r="H231" s="266"/>
      <c r="I231" s="266"/>
      <c r="J231" s="64"/>
      <c r="K231" s="47"/>
    </row>
    <row r="232" spans="4:11" s="2" customFormat="1" x14ac:dyDescent="0.25">
      <c r="D232" s="46"/>
      <c r="E232" s="44"/>
      <c r="F232" s="44"/>
      <c r="G232" s="266"/>
      <c r="H232" s="266"/>
      <c r="I232" s="266"/>
      <c r="J232" s="64"/>
      <c r="K232" s="47"/>
    </row>
    <row r="233" spans="4:11" s="2" customFormat="1" x14ac:dyDescent="0.25">
      <c r="D233" s="46"/>
      <c r="E233" s="44"/>
      <c r="F233" s="44"/>
      <c r="G233" s="266"/>
      <c r="H233" s="266"/>
      <c r="I233" s="266"/>
      <c r="J233" s="64"/>
      <c r="K233" s="47"/>
    </row>
    <row r="234" spans="4:11" s="2" customFormat="1" x14ac:dyDescent="0.25">
      <c r="D234" s="46"/>
      <c r="E234" s="44"/>
      <c r="F234" s="44"/>
      <c r="G234" s="266"/>
      <c r="H234" s="266"/>
      <c r="I234" s="266"/>
      <c r="J234" s="64"/>
      <c r="K234" s="47"/>
    </row>
    <row r="235" spans="4:11" s="2" customFormat="1" x14ac:dyDescent="0.25">
      <c r="D235" s="46"/>
      <c r="E235" s="44"/>
      <c r="F235" s="44"/>
      <c r="G235" s="266"/>
      <c r="H235" s="266"/>
      <c r="I235" s="266"/>
      <c r="J235" s="64"/>
      <c r="K235" s="47"/>
    </row>
    <row r="236" spans="4:11" s="2" customFormat="1" x14ac:dyDescent="0.25">
      <c r="D236" s="46"/>
      <c r="E236" s="44"/>
      <c r="F236" s="44"/>
      <c r="G236" s="266"/>
      <c r="H236" s="266"/>
      <c r="I236" s="266"/>
      <c r="J236" s="64"/>
      <c r="K236" s="47"/>
    </row>
    <row r="237" spans="4:11" s="2" customFormat="1" x14ac:dyDescent="0.25">
      <c r="D237" s="46"/>
      <c r="E237" s="44"/>
      <c r="F237" s="44"/>
      <c r="G237" s="266"/>
      <c r="H237" s="266"/>
      <c r="I237" s="266"/>
      <c r="J237" s="64"/>
      <c r="K237" s="47"/>
    </row>
    <row r="238" spans="4:11" s="2" customFormat="1" x14ac:dyDescent="0.25">
      <c r="D238" s="46"/>
      <c r="E238" s="44"/>
      <c r="F238" s="44"/>
      <c r="G238" s="266"/>
      <c r="H238" s="266"/>
      <c r="I238" s="266"/>
      <c r="J238" s="64"/>
      <c r="K238" s="47"/>
    </row>
    <row r="239" spans="4:11" s="2" customFormat="1" x14ac:dyDescent="0.25">
      <c r="D239" s="46"/>
      <c r="E239" s="44"/>
      <c r="F239" s="44"/>
      <c r="G239" s="266"/>
      <c r="H239" s="266"/>
      <c r="I239" s="266"/>
      <c r="J239" s="64"/>
      <c r="K239" s="47"/>
    </row>
    <row r="240" spans="4:11" s="2" customFormat="1" x14ac:dyDescent="0.25">
      <c r="D240" s="46"/>
      <c r="E240" s="44"/>
      <c r="F240" s="44"/>
      <c r="G240" s="266"/>
      <c r="H240" s="266"/>
      <c r="I240" s="266"/>
      <c r="J240" s="64"/>
      <c r="K240" s="47"/>
    </row>
    <row r="241" spans="4:11" s="2" customFormat="1" x14ac:dyDescent="0.25">
      <c r="D241" s="46"/>
      <c r="E241" s="44"/>
      <c r="F241" s="44"/>
      <c r="G241" s="266"/>
      <c r="H241" s="266"/>
      <c r="I241" s="266"/>
      <c r="J241" s="64"/>
      <c r="K241" s="47"/>
    </row>
    <row r="242" spans="4:11" s="2" customFormat="1" x14ac:dyDescent="0.25">
      <c r="D242" s="46"/>
      <c r="E242" s="44"/>
      <c r="F242" s="44"/>
      <c r="G242" s="266"/>
      <c r="H242" s="266"/>
      <c r="I242" s="266"/>
      <c r="J242" s="64"/>
      <c r="K242" s="47"/>
    </row>
    <row r="243" spans="4:11" s="2" customFormat="1" x14ac:dyDescent="0.25">
      <c r="D243" s="46"/>
      <c r="E243" s="44"/>
      <c r="F243" s="44"/>
      <c r="G243" s="266"/>
      <c r="H243" s="266"/>
      <c r="I243" s="266"/>
      <c r="J243" s="64"/>
      <c r="K243" s="47"/>
    </row>
    <row r="244" spans="4:11" s="2" customFormat="1" x14ac:dyDescent="0.25">
      <c r="D244" s="46"/>
      <c r="E244" s="44"/>
      <c r="F244" s="44"/>
      <c r="G244" s="266"/>
      <c r="H244" s="266"/>
      <c r="I244" s="266"/>
      <c r="J244" s="64"/>
      <c r="K244" s="47"/>
    </row>
    <row r="245" spans="4:11" s="2" customFormat="1" x14ac:dyDescent="0.25">
      <c r="D245" s="46"/>
      <c r="E245" s="44"/>
      <c r="F245" s="44"/>
      <c r="G245" s="266"/>
      <c r="H245" s="266"/>
      <c r="I245" s="266"/>
      <c r="J245" s="64"/>
      <c r="K245" s="47"/>
    </row>
    <row r="246" spans="4:11" s="2" customFormat="1" x14ac:dyDescent="0.25">
      <c r="D246" s="46"/>
      <c r="E246" s="44"/>
      <c r="F246" s="44"/>
      <c r="G246" s="266"/>
      <c r="H246" s="266"/>
      <c r="I246" s="266"/>
      <c r="J246" s="64"/>
      <c r="K246" s="47"/>
    </row>
    <row r="247" spans="4:11" s="2" customFormat="1" x14ac:dyDescent="0.25">
      <c r="D247" s="46"/>
      <c r="E247" s="44"/>
      <c r="F247" s="44"/>
      <c r="G247" s="266"/>
      <c r="H247" s="266"/>
      <c r="I247" s="266"/>
      <c r="J247" s="64"/>
      <c r="K247" s="47"/>
    </row>
    <row r="248" spans="4:11" s="2" customFormat="1" x14ac:dyDescent="0.25">
      <c r="D248" s="46"/>
      <c r="E248" s="44"/>
      <c r="F248" s="44"/>
      <c r="G248" s="266"/>
      <c r="H248" s="266"/>
      <c r="I248" s="266"/>
      <c r="J248" s="64"/>
      <c r="K248" s="47"/>
    </row>
    <row r="249" spans="4:11" s="2" customFormat="1" x14ac:dyDescent="0.25">
      <c r="D249" s="46"/>
      <c r="E249" s="44"/>
      <c r="F249" s="44"/>
      <c r="G249" s="266"/>
      <c r="H249" s="266"/>
      <c r="I249" s="266"/>
      <c r="J249" s="64"/>
      <c r="K249" s="47"/>
    </row>
    <row r="250" spans="4:11" s="2" customFormat="1" x14ac:dyDescent="0.25">
      <c r="D250" s="46"/>
      <c r="E250" s="44"/>
      <c r="F250" s="44"/>
      <c r="G250" s="266"/>
      <c r="H250" s="266"/>
      <c r="I250" s="266"/>
      <c r="J250" s="64"/>
      <c r="K250" s="47"/>
    </row>
    <row r="251" spans="4:11" s="2" customFormat="1" x14ac:dyDescent="0.25">
      <c r="D251" s="46"/>
      <c r="E251" s="44"/>
      <c r="F251" s="44"/>
      <c r="G251" s="266"/>
      <c r="H251" s="266"/>
      <c r="I251" s="266"/>
      <c r="J251" s="64"/>
      <c r="K251" s="47"/>
    </row>
    <row r="252" spans="4:11" s="2" customFormat="1" x14ac:dyDescent="0.25">
      <c r="D252" s="46"/>
      <c r="E252" s="44"/>
      <c r="F252" s="44"/>
      <c r="G252" s="266"/>
      <c r="H252" s="266"/>
      <c r="I252" s="266"/>
      <c r="J252" s="64"/>
      <c r="K252" s="47"/>
    </row>
    <row r="253" spans="4:11" s="2" customFormat="1" x14ac:dyDescent="0.25">
      <c r="D253" s="46"/>
      <c r="E253" s="44"/>
      <c r="F253" s="44"/>
      <c r="G253" s="266"/>
      <c r="H253" s="266"/>
      <c r="I253" s="266"/>
      <c r="J253" s="64"/>
      <c r="K253" s="47"/>
    </row>
    <row r="254" spans="4:11" s="2" customFormat="1" x14ac:dyDescent="0.25">
      <c r="D254" s="46"/>
      <c r="E254" s="44"/>
      <c r="F254" s="44"/>
      <c r="G254" s="266"/>
      <c r="H254" s="266"/>
      <c r="I254" s="266"/>
      <c r="J254" s="64"/>
      <c r="K254" s="47"/>
    </row>
    <row r="255" spans="4:11" s="2" customFormat="1" x14ac:dyDescent="0.25">
      <c r="D255" s="46"/>
      <c r="E255" s="44"/>
      <c r="F255" s="44"/>
      <c r="G255" s="266"/>
      <c r="H255" s="266"/>
      <c r="I255" s="266"/>
      <c r="J255" s="64"/>
      <c r="K255" s="47"/>
    </row>
    <row r="256" spans="4:11" s="2" customFormat="1" x14ac:dyDescent="0.25">
      <c r="D256" s="46"/>
      <c r="E256" s="44"/>
      <c r="F256" s="44"/>
      <c r="G256" s="266"/>
      <c r="H256" s="266"/>
      <c r="I256" s="266"/>
      <c r="J256" s="64"/>
      <c r="K256" s="47"/>
    </row>
    <row r="257" spans="1:1006" s="2" customFormat="1" x14ac:dyDescent="0.25">
      <c r="D257" s="46"/>
      <c r="E257" s="44"/>
      <c r="F257" s="44"/>
      <c r="G257" s="266"/>
      <c r="H257" s="266"/>
      <c r="I257" s="266"/>
      <c r="J257" s="64"/>
      <c r="K257" s="47"/>
    </row>
    <row r="258" spans="1:1006" s="2" customFormat="1" x14ac:dyDescent="0.25">
      <c r="D258" s="46"/>
      <c r="E258" s="44"/>
      <c r="F258" s="44"/>
      <c r="G258" s="266"/>
      <c r="H258" s="266"/>
      <c r="I258" s="266"/>
      <c r="J258" s="64"/>
      <c r="K258" s="47"/>
    </row>
    <row r="259" spans="1:1006" s="2" customFormat="1" x14ac:dyDescent="0.25">
      <c r="D259" s="46"/>
      <c r="E259" s="44"/>
      <c r="F259" s="44"/>
      <c r="G259" s="266"/>
      <c r="H259" s="266"/>
      <c r="I259" s="266"/>
      <c r="J259" s="64"/>
      <c r="K259" s="47"/>
    </row>
    <row r="260" spans="1:1006" s="2" customFormat="1" x14ac:dyDescent="0.25">
      <c r="D260" s="46"/>
      <c r="E260" s="44"/>
      <c r="F260" s="44"/>
      <c r="G260" s="266"/>
      <c r="H260" s="266"/>
      <c r="I260" s="266"/>
      <c r="J260" s="64"/>
      <c r="K260" s="47"/>
    </row>
    <row r="261" spans="1:1006" s="2" customFormat="1" x14ac:dyDescent="0.25">
      <c r="D261" s="46"/>
      <c r="E261" s="44"/>
      <c r="F261" s="44"/>
      <c r="G261" s="266"/>
      <c r="H261" s="266"/>
      <c r="I261" s="266"/>
      <c r="J261" s="64"/>
      <c r="K261" s="47"/>
    </row>
    <row r="262" spans="1:1006" s="2" customFormat="1" x14ac:dyDescent="0.25">
      <c r="D262" s="46"/>
      <c r="E262" s="44"/>
      <c r="F262" s="44"/>
      <c r="G262" s="266"/>
      <c r="H262" s="266"/>
      <c r="I262" s="266"/>
      <c r="J262" s="64"/>
      <c r="K262" s="47"/>
    </row>
    <row r="263" spans="1:1006" s="2" customFormat="1" x14ac:dyDescent="0.25">
      <c r="D263" s="46"/>
      <c r="E263" s="44"/>
      <c r="F263" s="44"/>
      <c r="G263" s="266"/>
      <c r="H263" s="266"/>
      <c r="I263" s="266"/>
      <c r="J263" s="64"/>
      <c r="K263" s="47"/>
    </row>
    <row r="264" spans="1:1006" s="2" customFormat="1" x14ac:dyDescent="0.25">
      <c r="D264" s="46"/>
      <c r="E264" s="44"/>
      <c r="F264" s="44"/>
      <c r="G264" s="266"/>
      <c r="H264" s="266"/>
      <c r="I264" s="266"/>
      <c r="J264" s="64"/>
      <c r="K264" s="47"/>
    </row>
    <row r="265" spans="1:1006" s="2" customFormat="1" x14ac:dyDescent="0.25">
      <c r="D265" s="46"/>
      <c r="E265" s="44"/>
      <c r="F265" s="44"/>
      <c r="G265" s="266"/>
      <c r="H265" s="266"/>
      <c r="I265" s="266"/>
      <c r="J265" s="64"/>
      <c r="K265" s="47"/>
    </row>
    <row r="266" spans="1:1006" s="2" customFormat="1" x14ac:dyDescent="0.25">
      <c r="D266" s="46"/>
      <c r="E266" s="44"/>
      <c r="F266" s="44"/>
      <c r="G266" s="266"/>
      <c r="H266" s="266"/>
      <c r="I266" s="266"/>
      <c r="J266" s="64"/>
      <c r="K266" s="47"/>
    </row>
    <row r="267" spans="1:1006" s="2" customFormat="1" x14ac:dyDescent="0.25">
      <c r="D267" s="46"/>
      <c r="E267" s="44"/>
      <c r="F267" s="44"/>
      <c r="G267" s="266"/>
      <c r="H267" s="266"/>
      <c r="I267" s="266"/>
      <c r="J267" s="64"/>
      <c r="K267" s="47"/>
    </row>
    <row r="268" spans="1:1006" s="2" customFormat="1" x14ac:dyDescent="0.25">
      <c r="D268" s="46"/>
      <c r="E268" s="44"/>
      <c r="F268" s="44"/>
      <c r="G268" s="266"/>
      <c r="H268" s="266"/>
      <c r="I268" s="266"/>
      <c r="J268" s="64"/>
      <c r="K268" s="47"/>
    </row>
    <row r="269" spans="1:1006" s="50" customFormat="1" x14ac:dyDescent="0.25">
      <c r="A269" s="48"/>
      <c r="B269" s="48"/>
      <c r="C269" s="48"/>
      <c r="D269" s="49"/>
      <c r="E269" s="44"/>
      <c r="F269" s="44"/>
      <c r="G269" s="266"/>
      <c r="H269" s="266"/>
      <c r="I269" s="266"/>
      <c r="J269" s="64"/>
      <c r="K269" s="47"/>
      <c r="L269" s="48"/>
      <c r="M269" s="48"/>
      <c r="N269" s="48"/>
      <c r="O269" s="48"/>
      <c r="P269" s="48"/>
      <c r="Q269" s="48"/>
      <c r="R269" s="48"/>
      <c r="S269" s="48"/>
      <c r="T269" s="48"/>
      <c r="U269" s="48"/>
      <c r="V269" s="48"/>
      <c r="W269" s="48"/>
      <c r="X269" s="48"/>
      <c r="Y269" s="48"/>
      <c r="Z269" s="48"/>
      <c r="AA269" s="48"/>
      <c r="AB269" s="48"/>
      <c r="AC269" s="48"/>
      <c r="AD269" s="48"/>
      <c r="AE269" s="48"/>
      <c r="AF269" s="48"/>
      <c r="AG269" s="48"/>
      <c r="AH269" s="48"/>
      <c r="AI269" s="48"/>
      <c r="AJ269" s="48"/>
      <c r="AK269" s="48"/>
      <c r="AL269" s="48"/>
      <c r="AM269" s="48"/>
      <c r="AN269" s="48"/>
      <c r="AO269" s="48"/>
      <c r="AP269" s="48"/>
      <c r="AQ269" s="48"/>
      <c r="AR269" s="48"/>
      <c r="AS269" s="48"/>
      <c r="AT269" s="48"/>
      <c r="AU269" s="48"/>
      <c r="AV269" s="48"/>
      <c r="AW269" s="48"/>
      <c r="AX269" s="48"/>
      <c r="AY269" s="48"/>
      <c r="AZ269" s="48"/>
      <c r="BA269" s="48"/>
      <c r="BB269" s="48"/>
      <c r="BC269" s="48"/>
      <c r="BD269" s="48"/>
      <c r="BE269" s="48"/>
      <c r="BF269" s="48"/>
      <c r="BG269" s="48"/>
      <c r="BH269" s="48"/>
      <c r="BI269" s="48"/>
      <c r="BJ269" s="48"/>
      <c r="BK269" s="48"/>
      <c r="BL269" s="48"/>
      <c r="BM269" s="48"/>
      <c r="BN269" s="48"/>
      <c r="BO269" s="48"/>
      <c r="BP269" s="48"/>
      <c r="BQ269" s="48"/>
      <c r="BR269" s="48"/>
      <c r="BS269" s="48"/>
      <c r="BT269" s="48"/>
      <c r="BU269" s="48"/>
      <c r="BV269" s="48"/>
      <c r="BW269" s="48"/>
      <c r="BX269" s="48"/>
      <c r="BY269" s="48"/>
      <c r="BZ269" s="48"/>
      <c r="CA269" s="48"/>
      <c r="CB269" s="48"/>
      <c r="CC269" s="48"/>
      <c r="CD269" s="48"/>
      <c r="CE269" s="48"/>
      <c r="CF269" s="48"/>
      <c r="CG269" s="48"/>
      <c r="CH269" s="48"/>
      <c r="CI269" s="48"/>
      <c r="CJ269" s="48"/>
      <c r="CK269" s="48"/>
      <c r="CL269" s="48"/>
      <c r="CM269" s="48"/>
      <c r="CN269" s="48"/>
      <c r="CO269" s="48"/>
      <c r="CP269" s="48"/>
      <c r="CQ269" s="48"/>
      <c r="CR269" s="48"/>
      <c r="CS269" s="48"/>
      <c r="CT269" s="48"/>
      <c r="CU269" s="48"/>
      <c r="CV269" s="48"/>
      <c r="CW269" s="48"/>
      <c r="CX269" s="48"/>
      <c r="CY269" s="48"/>
      <c r="CZ269" s="48"/>
      <c r="DA269" s="48"/>
      <c r="DB269" s="48"/>
      <c r="DC269" s="48"/>
      <c r="DD269" s="48"/>
      <c r="DE269" s="48"/>
      <c r="DF269" s="48"/>
      <c r="DG269" s="48"/>
      <c r="DH269" s="48"/>
      <c r="DI269" s="48"/>
      <c r="DJ269" s="48"/>
      <c r="DK269" s="48"/>
      <c r="DL269" s="48"/>
      <c r="DM269" s="48"/>
      <c r="DN269" s="48"/>
      <c r="DO269" s="48"/>
      <c r="DP269" s="48"/>
      <c r="DQ269" s="48"/>
      <c r="DR269" s="48"/>
      <c r="DS269" s="48"/>
      <c r="DT269" s="48"/>
      <c r="DU269" s="48"/>
      <c r="DV269" s="48"/>
      <c r="DW269" s="48"/>
      <c r="DX269" s="48"/>
      <c r="DY269" s="48"/>
      <c r="DZ269" s="48"/>
      <c r="EA269" s="48"/>
      <c r="EB269" s="48"/>
      <c r="EC269" s="48"/>
      <c r="ED269" s="48"/>
      <c r="EE269" s="48"/>
      <c r="EF269" s="48"/>
      <c r="EG269" s="48"/>
      <c r="EH269" s="48"/>
      <c r="EI269" s="48"/>
      <c r="EJ269" s="48"/>
      <c r="EK269" s="48"/>
      <c r="EL269" s="48"/>
      <c r="EM269" s="48"/>
      <c r="EN269" s="48"/>
      <c r="EO269" s="48"/>
      <c r="EP269" s="48"/>
      <c r="EQ269" s="48"/>
      <c r="ER269" s="48"/>
      <c r="ES269" s="48"/>
      <c r="ET269" s="48"/>
      <c r="EU269" s="48"/>
      <c r="EV269" s="48"/>
      <c r="EW269" s="48"/>
      <c r="EX269" s="48"/>
      <c r="EY269" s="48"/>
      <c r="EZ269" s="48"/>
      <c r="FA269" s="48"/>
      <c r="FB269" s="48"/>
      <c r="FC269" s="48"/>
      <c r="FD269" s="48"/>
      <c r="FE269" s="48"/>
      <c r="FF269" s="48"/>
      <c r="FG269" s="48"/>
      <c r="FH269" s="48"/>
      <c r="FI269" s="48"/>
      <c r="FJ269" s="48"/>
      <c r="FK269" s="48"/>
      <c r="FL269" s="48"/>
      <c r="FM269" s="48"/>
      <c r="FN269" s="48"/>
      <c r="FO269" s="48"/>
      <c r="FP269" s="48"/>
      <c r="FQ269" s="48"/>
      <c r="FR269" s="48"/>
      <c r="FS269" s="48"/>
      <c r="FT269" s="48"/>
      <c r="FU269" s="48"/>
      <c r="FV269" s="48"/>
      <c r="FW269" s="48"/>
      <c r="FX269" s="48"/>
      <c r="FY269" s="48"/>
      <c r="FZ269" s="48"/>
      <c r="GA269" s="48"/>
      <c r="GB269" s="48"/>
      <c r="GC269" s="48"/>
      <c r="GD269" s="48"/>
      <c r="GE269" s="48"/>
      <c r="GF269" s="48"/>
      <c r="GG269" s="48"/>
      <c r="GH269" s="48"/>
      <c r="GI269" s="48"/>
      <c r="GJ269" s="48"/>
      <c r="GK269" s="48"/>
      <c r="GL269" s="48"/>
      <c r="GM269" s="48"/>
      <c r="GN269" s="48"/>
      <c r="GO269" s="48"/>
      <c r="GP269" s="48"/>
      <c r="GQ269" s="48"/>
      <c r="GR269" s="48"/>
      <c r="GS269" s="48"/>
      <c r="GT269" s="48"/>
      <c r="GU269" s="48"/>
      <c r="GV269" s="48"/>
      <c r="GW269" s="48"/>
      <c r="GX269" s="48"/>
      <c r="GY269" s="48"/>
      <c r="GZ269" s="48"/>
      <c r="HA269" s="48"/>
      <c r="HB269" s="48"/>
      <c r="HC269" s="48"/>
      <c r="HD269" s="48"/>
      <c r="HE269" s="48"/>
      <c r="HF269" s="48"/>
      <c r="HG269" s="48"/>
      <c r="HH269" s="48"/>
      <c r="HI269" s="48"/>
      <c r="HJ269" s="48"/>
      <c r="HK269" s="48"/>
      <c r="HL269" s="48"/>
      <c r="HM269" s="48"/>
      <c r="HN269" s="48"/>
      <c r="HO269" s="48"/>
      <c r="HP269" s="48"/>
      <c r="HQ269" s="48"/>
      <c r="HR269" s="48"/>
      <c r="HS269" s="48"/>
      <c r="HT269" s="48"/>
      <c r="HU269" s="48"/>
      <c r="HV269" s="48"/>
      <c r="HW269" s="48"/>
      <c r="HX269" s="48"/>
      <c r="HY269" s="48"/>
      <c r="HZ269" s="48"/>
      <c r="IA269" s="48"/>
      <c r="IB269" s="48"/>
      <c r="IC269" s="48"/>
      <c r="ID269" s="48"/>
      <c r="IE269" s="48"/>
      <c r="IF269" s="48"/>
      <c r="IG269" s="48"/>
      <c r="IH269" s="48"/>
      <c r="II269" s="48"/>
      <c r="IJ269" s="48"/>
      <c r="IK269" s="48"/>
      <c r="IL269" s="48"/>
      <c r="IM269" s="48"/>
      <c r="IN269" s="48"/>
      <c r="IO269" s="48"/>
      <c r="IP269" s="48"/>
      <c r="IQ269" s="48"/>
      <c r="IR269" s="48"/>
      <c r="IS269" s="48"/>
      <c r="IT269" s="48"/>
      <c r="IU269" s="48"/>
      <c r="IV269" s="48"/>
      <c r="IW269" s="48"/>
      <c r="IX269" s="48"/>
      <c r="IY269" s="48"/>
      <c r="IZ269" s="48"/>
      <c r="JA269" s="48"/>
      <c r="JB269" s="48"/>
      <c r="JC269" s="48"/>
      <c r="JD269" s="48"/>
      <c r="JE269" s="48"/>
      <c r="JF269" s="48"/>
      <c r="JG269" s="48"/>
      <c r="JH269" s="48"/>
      <c r="JI269" s="48"/>
      <c r="JJ269" s="48"/>
      <c r="JK269" s="48"/>
      <c r="JL269" s="48"/>
      <c r="JM269" s="48"/>
      <c r="JN269" s="48"/>
      <c r="JO269" s="48"/>
      <c r="JP269" s="48"/>
      <c r="JQ269" s="48"/>
      <c r="JR269" s="48"/>
      <c r="JS269" s="48"/>
      <c r="JT269" s="48"/>
      <c r="JU269" s="48"/>
      <c r="JV269" s="48"/>
      <c r="JW269" s="48"/>
      <c r="JX269" s="48"/>
      <c r="JY269" s="48"/>
      <c r="JZ269" s="48"/>
      <c r="KA269" s="48"/>
      <c r="KB269" s="48"/>
      <c r="KC269" s="48"/>
      <c r="KD269" s="48"/>
      <c r="KE269" s="48"/>
      <c r="KF269" s="48"/>
      <c r="KG269" s="48"/>
      <c r="KH269" s="48"/>
      <c r="KI269" s="48"/>
      <c r="KJ269" s="48"/>
      <c r="KK269" s="48"/>
      <c r="KL269" s="48"/>
      <c r="KM269" s="48"/>
      <c r="KN269" s="48"/>
      <c r="KO269" s="48"/>
      <c r="KP269" s="48"/>
      <c r="KQ269" s="48"/>
      <c r="KR269" s="48"/>
      <c r="KS269" s="48"/>
      <c r="KT269" s="48"/>
      <c r="KU269" s="48"/>
      <c r="KV269" s="48"/>
      <c r="KW269" s="48"/>
      <c r="KX269" s="48"/>
      <c r="KY269" s="48"/>
      <c r="KZ269" s="48"/>
      <c r="LA269" s="48"/>
      <c r="LB269" s="48"/>
      <c r="LC269" s="48"/>
      <c r="LD269" s="48"/>
      <c r="LE269" s="48"/>
      <c r="LF269" s="48"/>
      <c r="LG269" s="48"/>
      <c r="LH269" s="48"/>
      <c r="LI269" s="48"/>
      <c r="LJ269" s="48"/>
      <c r="LK269" s="48"/>
      <c r="LL269" s="48"/>
      <c r="LM269" s="48"/>
      <c r="LN269" s="48"/>
      <c r="LO269" s="48"/>
      <c r="LP269" s="48"/>
      <c r="LQ269" s="48"/>
      <c r="LR269" s="48"/>
      <c r="LS269" s="48"/>
      <c r="LT269" s="48"/>
      <c r="LU269" s="48"/>
      <c r="LV269" s="48"/>
      <c r="LW269" s="48"/>
      <c r="LX269" s="48"/>
      <c r="LY269" s="48"/>
      <c r="LZ269" s="48"/>
      <c r="MA269" s="48"/>
      <c r="MB269" s="48"/>
      <c r="MC269" s="48"/>
      <c r="MD269" s="48"/>
      <c r="ME269" s="48"/>
      <c r="MF269" s="48"/>
      <c r="MG269" s="48"/>
      <c r="MH269" s="48"/>
      <c r="MI269" s="48"/>
      <c r="MJ269" s="48"/>
      <c r="MK269" s="48"/>
      <c r="ML269" s="48"/>
      <c r="MM269" s="48"/>
      <c r="MN269" s="48"/>
      <c r="MO269" s="48"/>
      <c r="MP269" s="48"/>
      <c r="MQ269" s="48"/>
      <c r="MR269" s="48"/>
      <c r="MS269" s="48"/>
      <c r="MT269" s="48"/>
      <c r="MU269" s="48"/>
      <c r="MV269" s="48"/>
      <c r="MW269" s="48"/>
      <c r="MX269" s="48"/>
      <c r="MY269" s="48"/>
      <c r="MZ269" s="48"/>
      <c r="NA269" s="48"/>
      <c r="NB269" s="48"/>
      <c r="NC269" s="48"/>
      <c r="ND269" s="48"/>
      <c r="NE269" s="48"/>
      <c r="NF269" s="48"/>
      <c r="NG269" s="48"/>
      <c r="NH269" s="48"/>
      <c r="NI269" s="48"/>
      <c r="NJ269" s="48"/>
      <c r="NK269" s="48"/>
      <c r="NL269" s="48"/>
      <c r="NM269" s="48"/>
      <c r="NN269" s="48"/>
      <c r="NO269" s="48"/>
      <c r="NP269" s="48"/>
      <c r="NQ269" s="48"/>
      <c r="NR269" s="48"/>
      <c r="NS269" s="48"/>
      <c r="NT269" s="48"/>
      <c r="NU269" s="48"/>
      <c r="NV269" s="48"/>
      <c r="NW269" s="48"/>
      <c r="NX269" s="48"/>
      <c r="NY269" s="48"/>
      <c r="NZ269" s="48"/>
      <c r="OA269" s="48"/>
      <c r="OB269" s="48"/>
      <c r="OC269" s="48"/>
      <c r="OD269" s="48"/>
      <c r="OE269" s="48"/>
      <c r="OF269" s="48"/>
      <c r="OG269" s="48"/>
      <c r="OH269" s="48"/>
      <c r="OI269" s="48"/>
      <c r="OJ269" s="48"/>
      <c r="OK269" s="48"/>
      <c r="OL269" s="48"/>
      <c r="OM269" s="48"/>
      <c r="ON269" s="48"/>
      <c r="OO269" s="48"/>
      <c r="OP269" s="48"/>
      <c r="OQ269" s="48"/>
      <c r="OR269" s="48"/>
      <c r="OS269" s="48"/>
      <c r="OT269" s="48"/>
      <c r="OU269" s="48"/>
      <c r="OV269" s="48"/>
      <c r="OW269" s="48"/>
      <c r="OX269" s="48"/>
      <c r="OY269" s="48"/>
      <c r="OZ269" s="48"/>
      <c r="PA269" s="48"/>
      <c r="PB269" s="48"/>
      <c r="PC269" s="48"/>
      <c r="PD269" s="48"/>
      <c r="PE269" s="48"/>
      <c r="PF269" s="48"/>
      <c r="PG269" s="48"/>
      <c r="PH269" s="48"/>
      <c r="PI269" s="48"/>
      <c r="PJ269" s="48"/>
      <c r="PK269" s="48"/>
      <c r="PL269" s="48"/>
      <c r="PM269" s="48"/>
      <c r="PN269" s="48"/>
      <c r="PO269" s="48"/>
      <c r="PP269" s="48"/>
      <c r="PQ269" s="48"/>
      <c r="PR269" s="48"/>
      <c r="PS269" s="48"/>
      <c r="PT269" s="48"/>
      <c r="PU269" s="48"/>
      <c r="PV269" s="48"/>
      <c r="PW269" s="48"/>
      <c r="PX269" s="48"/>
      <c r="PY269" s="48"/>
      <c r="PZ269" s="48"/>
      <c r="QA269" s="48"/>
      <c r="QB269" s="48"/>
      <c r="QC269" s="48"/>
      <c r="QD269" s="48"/>
      <c r="QE269" s="48"/>
      <c r="QF269" s="48"/>
      <c r="QG269" s="48"/>
      <c r="QH269" s="48"/>
      <c r="QI269" s="48"/>
      <c r="QJ269" s="48"/>
      <c r="QK269" s="48"/>
      <c r="QL269" s="48"/>
      <c r="QM269" s="48"/>
      <c r="QN269" s="48"/>
      <c r="QO269" s="48"/>
      <c r="QP269" s="48"/>
      <c r="QQ269" s="48"/>
      <c r="QR269" s="48"/>
      <c r="QS269" s="48"/>
      <c r="QT269" s="48"/>
      <c r="QU269" s="48"/>
      <c r="QV269" s="48"/>
      <c r="QW269" s="48"/>
      <c r="QX269" s="48"/>
      <c r="QY269" s="48"/>
      <c r="QZ269" s="48"/>
      <c r="RA269" s="48"/>
      <c r="RB269" s="48"/>
      <c r="RC269" s="48"/>
      <c r="RD269" s="48"/>
      <c r="RE269" s="48"/>
      <c r="RF269" s="48"/>
      <c r="RG269" s="48"/>
      <c r="RH269" s="48"/>
      <c r="RI269" s="48"/>
      <c r="RJ269" s="48"/>
      <c r="RK269" s="48"/>
      <c r="RL269" s="48"/>
      <c r="RM269" s="48"/>
      <c r="RN269" s="48"/>
      <c r="RO269" s="48"/>
      <c r="RP269" s="48"/>
      <c r="RQ269" s="48"/>
      <c r="RR269" s="48"/>
      <c r="RS269" s="48"/>
      <c r="RT269" s="48"/>
      <c r="RU269" s="48"/>
      <c r="RV269" s="48"/>
      <c r="RW269" s="48"/>
      <c r="RX269" s="48"/>
      <c r="RY269" s="48"/>
      <c r="RZ269" s="48"/>
      <c r="SA269" s="48"/>
      <c r="SB269" s="48"/>
      <c r="SC269" s="48"/>
      <c r="SD269" s="48"/>
      <c r="SE269" s="48"/>
      <c r="SF269" s="48"/>
      <c r="SG269" s="48"/>
      <c r="SH269" s="48"/>
      <c r="SI269" s="48"/>
      <c r="SJ269" s="48"/>
      <c r="SK269" s="48"/>
      <c r="SL269" s="48"/>
      <c r="SM269" s="48"/>
      <c r="SN269" s="48"/>
      <c r="SO269" s="48"/>
      <c r="SP269" s="48"/>
      <c r="SQ269" s="48"/>
      <c r="SR269" s="48"/>
      <c r="SS269" s="48"/>
      <c r="ST269" s="48"/>
      <c r="SU269" s="48"/>
      <c r="SV269" s="48"/>
      <c r="SW269" s="48"/>
      <c r="SX269" s="48"/>
      <c r="SY269" s="48"/>
      <c r="SZ269" s="48"/>
      <c r="TA269" s="48"/>
      <c r="TB269" s="48"/>
      <c r="TC269" s="48"/>
      <c r="TD269" s="48"/>
      <c r="TE269" s="48"/>
      <c r="TF269" s="48"/>
      <c r="TG269" s="48"/>
      <c r="TH269" s="48"/>
      <c r="TI269" s="48"/>
      <c r="TJ269" s="48"/>
      <c r="TK269" s="48"/>
      <c r="TL269" s="48"/>
      <c r="TM269" s="48"/>
      <c r="TN269" s="48"/>
      <c r="TO269" s="48"/>
      <c r="TP269" s="48"/>
      <c r="TQ269" s="48"/>
      <c r="TR269" s="48"/>
      <c r="TS269" s="48"/>
      <c r="TT269" s="48"/>
      <c r="TU269" s="48"/>
      <c r="TV269" s="48"/>
      <c r="TW269" s="48"/>
      <c r="TX269" s="48"/>
      <c r="TY269" s="48"/>
      <c r="TZ269" s="48"/>
      <c r="UA269" s="48"/>
      <c r="UB269" s="48"/>
      <c r="UC269" s="48"/>
      <c r="UD269" s="48"/>
      <c r="UE269" s="48"/>
      <c r="UF269" s="48"/>
      <c r="UG269" s="48"/>
      <c r="UH269" s="48"/>
      <c r="UI269" s="48"/>
      <c r="UJ269" s="48"/>
      <c r="UK269" s="48"/>
      <c r="UL269" s="48"/>
      <c r="UM269" s="48"/>
      <c r="UN269" s="48"/>
      <c r="UO269" s="48"/>
      <c r="UP269" s="48"/>
      <c r="UQ269" s="48"/>
      <c r="UR269" s="48"/>
      <c r="US269" s="48"/>
      <c r="UT269" s="48"/>
      <c r="UU269" s="48"/>
      <c r="UV269" s="48"/>
      <c r="UW269" s="48"/>
      <c r="UX269" s="48"/>
      <c r="UY269" s="48"/>
      <c r="UZ269" s="48"/>
      <c r="VA269" s="48"/>
      <c r="VB269" s="48"/>
      <c r="VC269" s="48"/>
      <c r="VD269" s="48"/>
      <c r="VE269" s="48"/>
      <c r="VF269" s="48"/>
      <c r="VG269" s="48"/>
      <c r="VH269" s="48"/>
      <c r="VI269" s="48"/>
      <c r="VJ269" s="48"/>
      <c r="VK269" s="48"/>
      <c r="VL269" s="48"/>
      <c r="VM269" s="48"/>
      <c r="VN269" s="48"/>
      <c r="VO269" s="48"/>
      <c r="VP269" s="48"/>
      <c r="VQ269" s="48"/>
      <c r="VR269" s="48"/>
      <c r="VS269" s="48"/>
      <c r="VT269" s="48"/>
      <c r="VU269" s="48"/>
      <c r="VV269" s="48"/>
      <c r="VW269" s="48"/>
      <c r="VX269" s="48"/>
      <c r="VY269" s="48"/>
      <c r="VZ269" s="48"/>
      <c r="WA269" s="48"/>
      <c r="WB269" s="48"/>
      <c r="WC269" s="48"/>
      <c r="WD269" s="48"/>
      <c r="WE269" s="48"/>
      <c r="WF269" s="48"/>
      <c r="WG269" s="48"/>
      <c r="WH269" s="48"/>
      <c r="WI269" s="48"/>
      <c r="WJ269" s="48"/>
      <c r="WK269" s="48"/>
      <c r="WL269" s="48"/>
      <c r="WM269" s="48"/>
      <c r="WN269" s="48"/>
      <c r="WO269" s="48"/>
      <c r="WP269" s="48"/>
      <c r="WQ269" s="48"/>
      <c r="WR269" s="48"/>
      <c r="WS269" s="48"/>
      <c r="WT269" s="48"/>
      <c r="WU269" s="48"/>
      <c r="WV269" s="48"/>
      <c r="WW269" s="48"/>
      <c r="WX269" s="48"/>
      <c r="WY269" s="48"/>
      <c r="WZ269" s="48"/>
      <c r="XA269" s="48"/>
      <c r="XB269" s="48"/>
      <c r="XC269" s="48"/>
      <c r="XD269" s="48"/>
      <c r="XE269" s="48"/>
      <c r="XF269" s="48"/>
      <c r="XG269" s="48"/>
      <c r="XH269" s="48"/>
      <c r="XI269" s="48"/>
      <c r="XJ269" s="48"/>
      <c r="XK269" s="48"/>
      <c r="XL269" s="48"/>
      <c r="XM269" s="48"/>
      <c r="XN269" s="48"/>
      <c r="XO269" s="48"/>
      <c r="XP269" s="48"/>
      <c r="XQ269" s="48"/>
      <c r="XR269" s="48"/>
      <c r="XS269" s="48"/>
      <c r="XT269" s="48"/>
      <c r="XU269" s="48"/>
      <c r="XV269" s="48"/>
      <c r="XW269" s="48"/>
      <c r="XX269" s="48"/>
      <c r="XY269" s="48"/>
      <c r="XZ269" s="48"/>
      <c r="YA269" s="48"/>
      <c r="YB269" s="48"/>
      <c r="YC269" s="48"/>
      <c r="YD269" s="48"/>
      <c r="YE269" s="48"/>
      <c r="YF269" s="48"/>
      <c r="YG269" s="48"/>
      <c r="YH269" s="48"/>
      <c r="YI269" s="48"/>
      <c r="YJ269" s="48"/>
      <c r="YK269" s="48"/>
      <c r="YL269" s="48"/>
      <c r="YM269" s="48"/>
      <c r="YN269" s="48"/>
      <c r="YO269" s="48"/>
      <c r="YP269" s="48"/>
      <c r="YQ269" s="48"/>
      <c r="YR269" s="48"/>
      <c r="YS269" s="48"/>
      <c r="YT269" s="48"/>
      <c r="YU269" s="48"/>
      <c r="YV269" s="48"/>
      <c r="YW269" s="48"/>
      <c r="YX269" s="48"/>
      <c r="YY269" s="48"/>
      <c r="YZ269" s="48"/>
      <c r="ZA269" s="48"/>
      <c r="ZB269" s="48"/>
      <c r="ZC269" s="48"/>
      <c r="ZD269" s="48"/>
      <c r="ZE269" s="48"/>
      <c r="ZF269" s="48"/>
      <c r="ZG269" s="48"/>
      <c r="ZH269" s="48"/>
      <c r="ZI269" s="48"/>
      <c r="ZJ269" s="48"/>
      <c r="ZK269" s="48"/>
      <c r="ZL269" s="48"/>
      <c r="ZM269" s="48"/>
      <c r="ZN269" s="48"/>
      <c r="ZO269" s="48"/>
      <c r="ZP269" s="48"/>
      <c r="ZQ269" s="48"/>
      <c r="ZR269" s="48"/>
      <c r="ZS269" s="48"/>
      <c r="ZT269" s="48"/>
      <c r="ZU269" s="48"/>
      <c r="ZV269" s="48"/>
      <c r="ZW269" s="48"/>
      <c r="ZX269" s="48"/>
      <c r="ZY269" s="48"/>
      <c r="ZZ269" s="48"/>
      <c r="AAA269" s="48"/>
      <c r="AAB269" s="48"/>
      <c r="AAC269" s="48"/>
      <c r="AAD269" s="48"/>
      <c r="AAE269" s="48"/>
      <c r="AAF269" s="48"/>
      <c r="AAG269" s="48"/>
      <c r="AAH269" s="48"/>
      <c r="AAI269" s="48"/>
      <c r="AAJ269" s="48"/>
      <c r="AAK269" s="48"/>
      <c r="AAL269" s="48"/>
      <c r="AAM269" s="48"/>
      <c r="AAN269" s="48"/>
      <c r="AAO269" s="48"/>
      <c r="AAP269" s="48"/>
      <c r="AAQ269" s="48"/>
      <c r="AAR269" s="48"/>
      <c r="AAS269" s="48"/>
      <c r="AAT269" s="48"/>
      <c r="AAU269" s="48"/>
      <c r="AAV269" s="48"/>
      <c r="AAW269" s="48"/>
      <c r="AAX269" s="48"/>
      <c r="AAY269" s="48"/>
      <c r="AAZ269" s="48"/>
      <c r="ABA269" s="48"/>
      <c r="ABB269" s="48"/>
      <c r="ABC269" s="48"/>
      <c r="ABD269" s="48"/>
      <c r="ABE269" s="48"/>
      <c r="ABF269" s="48"/>
      <c r="ABG269" s="48"/>
      <c r="ABH269" s="48"/>
      <c r="ABI269" s="48"/>
      <c r="ABJ269" s="48"/>
      <c r="ABK269" s="48"/>
      <c r="ABL269" s="48"/>
      <c r="ABM269" s="48"/>
      <c r="ABN269" s="48"/>
      <c r="ABO269" s="48"/>
      <c r="ABP269" s="48"/>
      <c r="ABQ269" s="48"/>
      <c r="ABR269" s="48"/>
      <c r="ABS269" s="48"/>
      <c r="ABT269" s="48"/>
      <c r="ABU269" s="48"/>
      <c r="ABV269" s="48"/>
      <c r="ABW269" s="48"/>
      <c r="ABX269" s="48"/>
      <c r="ABY269" s="48"/>
      <c r="ABZ269" s="48"/>
      <c r="ACA269" s="48"/>
      <c r="ACB269" s="48"/>
      <c r="ACC269" s="48"/>
      <c r="ACD269" s="48"/>
      <c r="ACE269" s="48"/>
      <c r="ACF269" s="48"/>
      <c r="ACG269" s="48"/>
      <c r="ACH269" s="48"/>
      <c r="ACI269" s="48"/>
      <c r="ACJ269" s="48"/>
      <c r="ACK269" s="48"/>
      <c r="ACL269" s="48"/>
      <c r="ACM269" s="48"/>
      <c r="ACN269" s="48"/>
      <c r="ACO269" s="48"/>
      <c r="ACP269" s="48"/>
      <c r="ACQ269" s="48"/>
      <c r="ACR269" s="48"/>
      <c r="ACS269" s="48"/>
      <c r="ACT269" s="48"/>
      <c r="ACU269" s="48"/>
      <c r="ACV269" s="48"/>
      <c r="ACW269" s="48"/>
      <c r="ACX269" s="48"/>
      <c r="ACY269" s="48"/>
      <c r="ACZ269" s="48"/>
      <c r="ADA269" s="48"/>
      <c r="ADB269" s="48"/>
      <c r="ADC269" s="48"/>
      <c r="ADD269" s="48"/>
      <c r="ADE269" s="48"/>
      <c r="ADF269" s="48"/>
      <c r="ADG269" s="48"/>
      <c r="ADH269" s="48"/>
      <c r="ADI269" s="48"/>
      <c r="ADJ269" s="48"/>
      <c r="ADK269" s="48"/>
      <c r="ADL269" s="48"/>
      <c r="ADM269" s="48"/>
      <c r="ADN269" s="48"/>
      <c r="ADO269" s="48"/>
      <c r="ADP269" s="48"/>
      <c r="ADQ269" s="48"/>
      <c r="ADR269" s="48"/>
      <c r="ADS269" s="48"/>
      <c r="ADT269" s="48"/>
      <c r="ADU269" s="48"/>
      <c r="ADV269" s="48"/>
      <c r="ADW269" s="48"/>
      <c r="ADX269" s="48"/>
      <c r="ADY269" s="48"/>
      <c r="ADZ269" s="48"/>
      <c r="AEA269" s="48"/>
      <c r="AEB269" s="48"/>
      <c r="AEC269" s="48"/>
      <c r="AED269" s="48"/>
      <c r="AEE269" s="48"/>
      <c r="AEF269" s="48"/>
      <c r="AEG269" s="48"/>
      <c r="AEH269" s="48"/>
      <c r="AEI269" s="48"/>
      <c r="AEJ269" s="48"/>
      <c r="AEK269" s="48"/>
      <c r="AEL269" s="48"/>
      <c r="AEM269" s="48"/>
      <c r="AEN269" s="48"/>
      <c r="AEO269" s="48"/>
      <c r="AEP269" s="48"/>
      <c r="AEQ269" s="48"/>
      <c r="AER269" s="48"/>
      <c r="AES269" s="48"/>
      <c r="AET269" s="48"/>
      <c r="AEU269" s="48"/>
      <c r="AEV269" s="48"/>
      <c r="AEW269" s="48"/>
      <c r="AEX269" s="48"/>
      <c r="AEY269" s="48"/>
      <c r="AEZ269" s="48"/>
      <c r="AFA269" s="48"/>
      <c r="AFB269" s="48"/>
      <c r="AFC269" s="48"/>
      <c r="AFD269" s="48"/>
      <c r="AFE269" s="48"/>
      <c r="AFF269" s="48"/>
      <c r="AFG269" s="48"/>
      <c r="AFH269" s="48"/>
      <c r="AFI269" s="48"/>
      <c r="AFJ269" s="48"/>
      <c r="AFK269" s="48"/>
      <c r="AFL269" s="48"/>
      <c r="AFM269" s="48"/>
      <c r="AFN269" s="48"/>
      <c r="AFO269" s="48"/>
      <c r="AFP269" s="48"/>
      <c r="AFQ269" s="48"/>
      <c r="AFR269" s="48"/>
      <c r="AFS269" s="48"/>
      <c r="AFT269" s="48"/>
      <c r="AFU269" s="48"/>
      <c r="AFV269" s="48"/>
      <c r="AFW269" s="48"/>
      <c r="AFX269" s="48"/>
      <c r="AFY269" s="48"/>
      <c r="AFZ269" s="48"/>
      <c r="AGA269" s="48"/>
      <c r="AGB269" s="48"/>
      <c r="AGC269" s="48"/>
      <c r="AGD269" s="48"/>
      <c r="AGE269" s="48"/>
      <c r="AGF269" s="48"/>
      <c r="AGG269" s="48"/>
      <c r="AGH269" s="48"/>
      <c r="AGI269" s="48"/>
      <c r="AGJ269" s="48"/>
      <c r="AGK269" s="48"/>
      <c r="AGL269" s="48"/>
      <c r="AGM269" s="48"/>
      <c r="AGN269" s="48"/>
      <c r="AGO269" s="48"/>
      <c r="AGP269" s="48"/>
      <c r="AGQ269" s="48"/>
      <c r="AGR269" s="48"/>
      <c r="AGS269" s="48"/>
      <c r="AGT269" s="48"/>
      <c r="AGU269" s="48"/>
      <c r="AGV269" s="48"/>
      <c r="AGW269" s="48"/>
      <c r="AGX269" s="48"/>
      <c r="AGY269" s="48"/>
      <c r="AGZ269" s="48"/>
      <c r="AHA269" s="48"/>
      <c r="AHB269" s="48"/>
      <c r="AHC269" s="48"/>
      <c r="AHD269" s="48"/>
      <c r="AHE269" s="48"/>
      <c r="AHF269" s="48"/>
      <c r="AHG269" s="48"/>
      <c r="AHH269" s="48"/>
      <c r="AHI269" s="48"/>
      <c r="AHJ269" s="48"/>
      <c r="AHK269" s="48"/>
      <c r="AHL269" s="48"/>
      <c r="AHM269" s="48"/>
      <c r="AHN269" s="48"/>
      <c r="AHO269" s="48"/>
      <c r="AHP269" s="48"/>
      <c r="AHQ269" s="48"/>
      <c r="AHR269" s="48"/>
      <c r="AHS269" s="48"/>
      <c r="AHT269" s="48"/>
      <c r="AHU269" s="48"/>
      <c r="AHV269" s="48"/>
      <c r="AHW269" s="48"/>
      <c r="AHX269" s="48"/>
      <c r="AHY269" s="48"/>
      <c r="AHZ269" s="48"/>
      <c r="AIA269" s="48"/>
      <c r="AIB269" s="48"/>
      <c r="AIC269" s="48"/>
      <c r="AID269" s="48"/>
      <c r="AIE269" s="48"/>
      <c r="AIF269" s="48"/>
      <c r="AIG269" s="48"/>
      <c r="AIH269" s="48"/>
      <c r="AII269" s="48"/>
      <c r="AIJ269" s="48"/>
      <c r="AIK269" s="48"/>
      <c r="AIL269" s="48"/>
      <c r="AIM269" s="48"/>
      <c r="AIN269" s="48"/>
      <c r="AIO269" s="48"/>
      <c r="AIP269" s="48"/>
      <c r="AIQ269" s="48"/>
      <c r="AIR269" s="48"/>
      <c r="AIS269" s="48"/>
      <c r="AIT269" s="48"/>
      <c r="AIU269" s="48"/>
      <c r="AIV269" s="48"/>
      <c r="AIW269" s="48"/>
      <c r="AIX269" s="48"/>
      <c r="AIY269" s="48"/>
      <c r="AIZ269" s="48"/>
      <c r="AJA269" s="48"/>
      <c r="AJB269" s="48"/>
      <c r="AJC269" s="48"/>
      <c r="AJD269" s="48"/>
      <c r="AJE269" s="48"/>
      <c r="AJF269" s="48"/>
      <c r="AJG269" s="48"/>
      <c r="AJH269" s="48"/>
      <c r="AJI269" s="48"/>
      <c r="AJJ269" s="48"/>
      <c r="AJK269" s="48"/>
      <c r="AJL269" s="48"/>
      <c r="AJM269" s="48"/>
      <c r="AJN269" s="48"/>
      <c r="AJO269" s="48"/>
      <c r="AJP269" s="48"/>
      <c r="AJQ269" s="48"/>
      <c r="AJR269" s="48"/>
      <c r="AJS269" s="48"/>
      <c r="AJT269" s="48"/>
      <c r="AJU269" s="48"/>
      <c r="AJV269" s="48"/>
      <c r="AJW269" s="48"/>
      <c r="AJX269" s="48"/>
      <c r="AJY269" s="48"/>
      <c r="AJZ269" s="48"/>
      <c r="AKA269" s="48"/>
      <c r="AKB269" s="48"/>
      <c r="AKC269" s="48"/>
      <c r="AKD269" s="48"/>
      <c r="AKE269" s="48"/>
      <c r="AKF269" s="48"/>
      <c r="AKG269" s="48"/>
      <c r="AKH269" s="48"/>
      <c r="AKI269" s="48"/>
      <c r="AKJ269" s="48"/>
      <c r="AKK269" s="48"/>
      <c r="AKL269" s="48"/>
      <c r="AKM269" s="48"/>
      <c r="AKN269" s="48"/>
      <c r="AKO269" s="48"/>
      <c r="AKP269" s="48"/>
      <c r="AKQ269" s="48"/>
      <c r="AKR269" s="48"/>
      <c r="AKS269" s="48"/>
      <c r="AKT269" s="48"/>
      <c r="AKU269" s="48"/>
      <c r="AKV269" s="48"/>
      <c r="AKW269" s="48"/>
      <c r="AKX269" s="48"/>
      <c r="AKY269" s="48"/>
      <c r="AKZ269" s="48"/>
      <c r="ALA269" s="48"/>
      <c r="ALB269" s="48"/>
      <c r="ALC269" s="48"/>
      <c r="ALD269" s="48"/>
      <c r="ALE269" s="48"/>
      <c r="ALF269" s="48"/>
      <c r="ALG269" s="48"/>
      <c r="ALH269" s="48"/>
      <c r="ALI269" s="48"/>
      <c r="ALJ269" s="48"/>
      <c r="ALK269" s="48"/>
      <c r="ALL269" s="48"/>
      <c r="ALM269" s="48"/>
      <c r="ALN269" s="48"/>
      <c r="ALO269" s="48"/>
      <c r="ALP269" s="48"/>
      <c r="ALQ269" s="48"/>
      <c r="ALR269" s="48"/>
    </row>
  </sheetData>
  <sheetProtection sheet="1" objects="1" scenarios="1"/>
  <dataConsolidate/>
  <mergeCells count="162">
    <mergeCell ref="G253:I253"/>
    <mergeCell ref="G254:I254"/>
    <mergeCell ref="G255:I255"/>
    <mergeCell ref="G256:I256"/>
    <mergeCell ref="G257:I257"/>
    <mergeCell ref="G258:I258"/>
    <mergeCell ref="G247:I247"/>
    <mergeCell ref="G248:I248"/>
    <mergeCell ref="G249:I249"/>
    <mergeCell ref="G250:I250"/>
    <mergeCell ref="G251:I251"/>
    <mergeCell ref="G252:I252"/>
    <mergeCell ref="G265:I265"/>
    <mergeCell ref="G266:I266"/>
    <mergeCell ref="G267:I267"/>
    <mergeCell ref="G268:I268"/>
    <mergeCell ref="G269:I269"/>
    <mergeCell ref="G259:I259"/>
    <mergeCell ref="G260:I260"/>
    <mergeCell ref="G261:I261"/>
    <mergeCell ref="G262:I262"/>
    <mergeCell ref="G263:I263"/>
    <mergeCell ref="G264:I264"/>
    <mergeCell ref="G241:I241"/>
    <mergeCell ref="G242:I242"/>
    <mergeCell ref="G243:I243"/>
    <mergeCell ref="G244:I244"/>
    <mergeCell ref="G245:I245"/>
    <mergeCell ref="G246:I246"/>
    <mergeCell ref="G235:I235"/>
    <mergeCell ref="G236:I236"/>
    <mergeCell ref="G237:I237"/>
    <mergeCell ref="G238:I238"/>
    <mergeCell ref="G239:I239"/>
    <mergeCell ref="G240:I240"/>
    <mergeCell ref="G229:I229"/>
    <mergeCell ref="G230:I230"/>
    <mergeCell ref="G231:I231"/>
    <mergeCell ref="G232:I232"/>
    <mergeCell ref="G233:I233"/>
    <mergeCell ref="G234:I234"/>
    <mergeCell ref="G223:I223"/>
    <mergeCell ref="G224:I224"/>
    <mergeCell ref="G225:I225"/>
    <mergeCell ref="G226:I226"/>
    <mergeCell ref="G227:I227"/>
    <mergeCell ref="G228:I228"/>
    <mergeCell ref="G217:I217"/>
    <mergeCell ref="G218:I218"/>
    <mergeCell ref="G219:I219"/>
    <mergeCell ref="G220:I220"/>
    <mergeCell ref="G221:I221"/>
    <mergeCell ref="G222:I222"/>
    <mergeCell ref="G211:I211"/>
    <mergeCell ref="G212:I212"/>
    <mergeCell ref="G213:I213"/>
    <mergeCell ref="G214:I214"/>
    <mergeCell ref="G215:I215"/>
    <mergeCell ref="G216:I216"/>
    <mergeCell ref="G205:I205"/>
    <mergeCell ref="G206:I206"/>
    <mergeCell ref="G207:I207"/>
    <mergeCell ref="G208:I208"/>
    <mergeCell ref="G209:I209"/>
    <mergeCell ref="G210:I210"/>
    <mergeCell ref="G199:I199"/>
    <mergeCell ref="G200:I200"/>
    <mergeCell ref="G201:I201"/>
    <mergeCell ref="G202:I202"/>
    <mergeCell ref="G203:I203"/>
    <mergeCell ref="G204:I204"/>
    <mergeCell ref="G193:I193"/>
    <mergeCell ref="G194:I194"/>
    <mergeCell ref="G195:I195"/>
    <mergeCell ref="G196:I196"/>
    <mergeCell ref="G197:I197"/>
    <mergeCell ref="G198:I198"/>
    <mergeCell ref="G187:I187"/>
    <mergeCell ref="G188:I188"/>
    <mergeCell ref="G189:I189"/>
    <mergeCell ref="G190:I190"/>
    <mergeCell ref="G191:I191"/>
    <mergeCell ref="G192:I192"/>
    <mergeCell ref="G181:I181"/>
    <mergeCell ref="G182:I182"/>
    <mergeCell ref="G183:I183"/>
    <mergeCell ref="G184:I184"/>
    <mergeCell ref="G185:I185"/>
    <mergeCell ref="G186:I186"/>
    <mergeCell ref="G175:I175"/>
    <mergeCell ref="G176:I176"/>
    <mergeCell ref="G177:I177"/>
    <mergeCell ref="G178:I178"/>
    <mergeCell ref="G179:I179"/>
    <mergeCell ref="G180:I180"/>
    <mergeCell ref="G169:I169"/>
    <mergeCell ref="G170:I170"/>
    <mergeCell ref="G171:I171"/>
    <mergeCell ref="G172:I172"/>
    <mergeCell ref="G173:I173"/>
    <mergeCell ref="G174:I174"/>
    <mergeCell ref="G163:I163"/>
    <mergeCell ref="G164:I164"/>
    <mergeCell ref="G165:I165"/>
    <mergeCell ref="G166:I166"/>
    <mergeCell ref="G167:I167"/>
    <mergeCell ref="G168:I168"/>
    <mergeCell ref="G158:I158"/>
    <mergeCell ref="G159:I159"/>
    <mergeCell ref="G160:I160"/>
    <mergeCell ref="G161:I161"/>
    <mergeCell ref="G162:I162"/>
    <mergeCell ref="G151:I151"/>
    <mergeCell ref="G152:I152"/>
    <mergeCell ref="G153:I153"/>
    <mergeCell ref="G154:I154"/>
    <mergeCell ref="G155:I155"/>
    <mergeCell ref="G156:I156"/>
    <mergeCell ref="G149:I149"/>
    <mergeCell ref="G150:I150"/>
    <mergeCell ref="G139:I139"/>
    <mergeCell ref="G140:I140"/>
    <mergeCell ref="G141:I141"/>
    <mergeCell ref="G142:I142"/>
    <mergeCell ref="G143:I143"/>
    <mergeCell ref="G144:I144"/>
    <mergeCell ref="G157:I157"/>
    <mergeCell ref="C1:L1"/>
    <mergeCell ref="E5:E6"/>
    <mergeCell ref="F5:F6"/>
    <mergeCell ref="G5:G6"/>
    <mergeCell ref="M3:O3"/>
    <mergeCell ref="G145:I145"/>
    <mergeCell ref="G146:I146"/>
    <mergeCell ref="G147:I147"/>
    <mergeCell ref="G148:I148"/>
    <mergeCell ref="I5:I6"/>
    <mergeCell ref="D7:D16"/>
    <mergeCell ref="D17:D26"/>
    <mergeCell ref="D27:D36"/>
    <mergeCell ref="D37:D46"/>
    <mergeCell ref="D47:D56"/>
    <mergeCell ref="D3:K3"/>
    <mergeCell ref="J5:K5"/>
    <mergeCell ref="D5:D6"/>
    <mergeCell ref="H5:H6"/>
    <mergeCell ref="D59:K63"/>
    <mergeCell ref="F7:F16"/>
    <mergeCell ref="G7:G16"/>
    <mergeCell ref="H7:H16"/>
    <mergeCell ref="F17:F26"/>
    <mergeCell ref="G17:G26"/>
    <mergeCell ref="H17:H26"/>
    <mergeCell ref="F27:F36"/>
    <mergeCell ref="G27:G36"/>
    <mergeCell ref="H27:H36"/>
    <mergeCell ref="F37:F46"/>
    <mergeCell ref="G37:G46"/>
    <mergeCell ref="H37:H46"/>
    <mergeCell ref="F47:F56"/>
    <mergeCell ref="G47:G56"/>
    <mergeCell ref="H47:H56"/>
  </mergeCells>
  <conditionalFormatting sqref="D139:D269">
    <cfRule type="expression" dxfId="4" priority="21">
      <formula>$E138&lt;&gt;""</formula>
    </cfRule>
  </conditionalFormatting>
  <conditionalFormatting sqref="E139:I269 K139:K269">
    <cfRule type="expression" dxfId="3" priority="20">
      <formula>$E138&lt;&gt;""</formula>
    </cfRule>
  </conditionalFormatting>
  <conditionalFormatting sqref="J139:J269">
    <cfRule type="expression" dxfId="2" priority="12">
      <formula>$E138&lt;&gt;""</formula>
    </cfRule>
  </conditionalFormatting>
  <conditionalFormatting sqref="M3:O3">
    <cfRule type="expression" dxfId="1" priority="1">
      <formula>#REF!="No"</formula>
    </cfRule>
  </conditionalFormatting>
  <conditionalFormatting sqref="M5:O16">
    <cfRule type="expression" dxfId="0" priority="2">
      <formula>#REF!="No"</formula>
    </cfRule>
  </conditionalFormatting>
  <dataValidations count="11">
    <dataValidation type="whole" allowBlank="1" showInputMessage="1" showErrorMessage="1" sqref="O16" xr:uid="{984E7180-B2D0-4F7A-884A-2EE0844AEEDD}">
      <formula1>O14+1</formula1>
      <formula2>2050</formula2>
    </dataValidation>
    <dataValidation type="list" allowBlank="1" showInputMessage="1" showErrorMessage="1" sqref="F139:F269" xr:uid="{F7628A67-C435-4B56-9D5F-DBA49FB40114}">
      <formula1>INDIRECT("Mes_Red_Tipus")</formula1>
    </dataValidation>
    <dataValidation operator="greaterThan" allowBlank="1" showInputMessage="1" error="Aquesta dada ha de ser un valor numèric" sqref="J139:J269" xr:uid="{44968800-D1DF-4629-843F-26F8F8A1F845}"/>
    <dataValidation type="list" allowBlank="1" showInputMessage="1" showErrorMessage="1" sqref="E139:E269" xr:uid="{B0EECB07-97E5-497A-89CC-08C575DCB4E6}">
      <formula1>CentrosIB</formula1>
    </dataValidation>
    <dataValidation type="whole" allowBlank="1" showInputMessage="1" showErrorMessage="1" error="Any incorrecte" sqref="O14" xr:uid="{FEDD06D3-89E0-457A-B7DB-91B136E12D2D}">
      <formula1>2020</formula1>
      <formula2>2050</formula2>
    </dataValidation>
    <dataValidation allowBlank="1" showInputMessage="1" showErrorMessage="1" error="Any incorrecte" sqref="F7:G7 F17:G17 F27:G27 F37:G37 F47:G47" xr:uid="{591C4B7F-8B40-4D7A-AADE-6B717C669E9C}"/>
    <dataValidation type="list" allowBlank="1" showInputMessage="1" showErrorMessage="1" sqref="E7:E56" xr:uid="{17CA357F-063E-4B5A-94D1-6F19ED1D3C01}">
      <formula1>Espècies</formula1>
    </dataValidation>
    <dataValidation type="whole" operator="greaterThan" allowBlank="1" showInputMessage="1" showErrorMessage="1" sqref="I7:I56" xr:uid="{CD74EF63-4B61-45B5-A0B8-9306884F312F}">
      <formula1>0</formula1>
    </dataValidation>
    <dataValidation type="list" allowBlank="1" showInputMessage="1" showErrorMessage="1" sqref="H7 H17 H27 H37 H47" xr:uid="{1CF5E4C6-DC81-4E0D-A17D-0FDD7A77A05B}">
      <formula1>Anys</formula1>
    </dataValidation>
    <dataValidation type="list" allowBlank="1" showInputMessage="1" showErrorMessage="1" sqref="G22:G269" xr:uid="{61C46530-EAD8-4A0E-BB3B-0000403A67F9}">
      <formula1>INDIRECT("Mes_Red_"&amp;(IFERROR(VLOOKUP(#REF!,#REF!,2,0),"")))</formula1>
    </dataValidation>
    <dataValidation type="list" allowBlank="1" showInputMessage="1" showErrorMessage="1" sqref="E7:E16 M7:M16" xr:uid="{5186B0AF-D5D8-4DEB-8458-6C66A3DCD2A3}">
      <formula1>#REF!</formula1>
    </dataValidation>
  </dataValidations>
  <hyperlinks>
    <hyperlink ref="A5" location="'2.1 Absorciones árboles'!A1" display="2.1. Cápsula 1.1: Absorciones de los árboles" xr:uid="{00000000-0004-0000-0200-000000000000}"/>
    <hyperlink ref="A7" location="'2.3 Emisiones maquinaria'!A1" display="2.3. Càpsula 2.2: Emisiones de vehículos y maquinaria" xr:uid="{00000000-0004-0000-0200-000001000000}"/>
    <hyperlink ref="A8" location="'2.4 Emisiones quema restos'!A1" display="2.4. Cápsula 2.3: Emisiones de CH4 y N2O por quema" xr:uid="{00000000-0004-0000-0200-000002000000}"/>
    <hyperlink ref="A9" location="'2.5 Emisiones productos'!A1" display="2.5. Cápsula 2.4: Emisiones de los productos madereros" xr:uid="{00000000-0004-0000-0200-000003000000}"/>
    <hyperlink ref="A10" location="'3. Resultados'!A1" display="3. Resultados de absorciones del proyecto" xr:uid="{00000000-0004-0000-0200-000004000000}"/>
    <hyperlink ref="A6" location="'2.2 Emisiones restos corta'!A1" display="2.2. Cápsula 2.1: Emisiones de CO2 por descomposición y quema" xr:uid="{00000000-0004-0000-0200-000005000000}"/>
    <hyperlink ref="A4" location="'1. Datos generales del proyecto'!A1" display="1. Datos del proyecto" xr:uid="{00000000-0004-0000-0200-000006000000}"/>
  </hyperlinks>
  <pageMargins left="0.70833333333333304" right="0.70833333333333304" top="0.74791666666666701" bottom="0.74791666666666701" header="0.51180555555555496" footer="0.51180555555555496"/>
  <pageSetup paperSize="9" scale="10" firstPageNumber="0"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MK115"/>
  <sheetViews>
    <sheetView zoomScale="90" zoomScaleNormal="90" workbookViewId="0">
      <pane xSplit="1" topLeftCell="B1" activePane="topRight" state="frozen"/>
      <selection activeCell="C1" sqref="C1:M1"/>
      <selection pane="topRight" activeCell="I56" sqref="I56"/>
    </sheetView>
  </sheetViews>
  <sheetFormatPr baseColWidth="10" defaultColWidth="9.140625" defaultRowHeight="15" x14ac:dyDescent="0.25"/>
  <cols>
    <col min="1" max="1" width="55.7109375" style="8" customWidth="1"/>
    <col min="2" max="2" width="1.7109375" style="2" customWidth="1"/>
    <col min="3" max="3" width="1" style="2" customWidth="1"/>
    <col min="4" max="4" width="1.42578125" style="6" customWidth="1"/>
    <col min="5" max="5" width="21.85546875" style="6" customWidth="1"/>
    <col min="6" max="6" width="38.7109375" style="6" customWidth="1"/>
    <col min="7" max="7" width="15.28515625" style="6" customWidth="1"/>
    <col min="8" max="8" width="22.140625" style="6" hidden="1" customWidth="1"/>
    <col min="9" max="9" width="15.140625" style="6" customWidth="1"/>
    <col min="10" max="10" width="16.85546875" style="6" customWidth="1"/>
    <col min="11" max="11" width="16.85546875" style="6" hidden="1" customWidth="1"/>
    <col min="12" max="12" width="27" style="6" customWidth="1"/>
    <col min="13" max="13" width="27" style="6" hidden="1" customWidth="1"/>
    <col min="14" max="14" width="27" style="6" customWidth="1"/>
    <col min="15" max="15" width="27" style="6" hidden="1" customWidth="1"/>
    <col min="16" max="16" width="27" style="6" customWidth="1"/>
    <col min="17" max="17" width="27" style="6" hidden="1" customWidth="1"/>
    <col min="18" max="18" width="27" style="6" customWidth="1"/>
    <col min="19" max="22" width="24.28515625" style="6" customWidth="1"/>
    <col min="23" max="23" width="4.5703125" style="6" customWidth="1"/>
    <col min="24" max="1025" width="9.140625" style="6"/>
  </cols>
  <sheetData>
    <row r="1" spans="1:23" ht="40.700000000000003" customHeight="1" x14ac:dyDescent="0.25">
      <c r="B1" s="3"/>
      <c r="C1" s="295" t="s">
        <v>113</v>
      </c>
      <c r="D1" s="295"/>
      <c r="E1" s="295"/>
      <c r="F1" s="295"/>
      <c r="G1" s="295"/>
      <c r="H1" s="295"/>
      <c r="I1" s="295"/>
      <c r="J1" s="295"/>
      <c r="K1" s="295"/>
      <c r="L1" s="295"/>
      <c r="M1" s="295"/>
      <c r="N1" s="295"/>
      <c r="O1" s="295"/>
      <c r="P1" s="295"/>
      <c r="Q1" s="295"/>
      <c r="R1" s="295"/>
      <c r="S1" s="295"/>
      <c r="T1" s="295"/>
      <c r="U1" s="295"/>
      <c r="V1" s="295"/>
      <c r="W1" s="295"/>
    </row>
    <row r="2" spans="1:23" ht="24" customHeight="1" x14ac:dyDescent="0.25">
      <c r="B2" s="3"/>
    </row>
    <row r="3" spans="1:23" ht="16.5" customHeight="1" x14ac:dyDescent="0.25">
      <c r="A3" s="5"/>
      <c r="B3" s="4"/>
      <c r="E3" s="331" t="s">
        <v>268</v>
      </c>
      <c r="F3" s="331"/>
      <c r="G3" s="331"/>
      <c r="H3" s="331"/>
      <c r="I3" s="331"/>
      <c r="J3" s="331"/>
      <c r="K3" s="331"/>
      <c r="L3" s="331"/>
      <c r="M3" s="331"/>
      <c r="N3" s="331"/>
      <c r="O3" s="331"/>
      <c r="P3" s="331"/>
      <c r="Q3" s="331"/>
      <c r="R3" s="331"/>
      <c r="S3" s="331"/>
      <c r="T3" s="331"/>
      <c r="U3" s="331"/>
      <c r="V3" s="331"/>
    </row>
    <row r="4" spans="1:23" ht="14.25" customHeight="1" x14ac:dyDescent="0.3">
      <c r="A4" s="144" t="s">
        <v>85</v>
      </c>
      <c r="B4" s="4"/>
      <c r="E4" s="331"/>
      <c r="F4" s="331"/>
      <c r="G4" s="331"/>
      <c r="H4" s="331"/>
      <c r="I4" s="331"/>
      <c r="J4" s="331"/>
      <c r="K4" s="331"/>
      <c r="L4" s="331"/>
      <c r="M4" s="331"/>
      <c r="N4" s="331"/>
      <c r="O4" s="331"/>
      <c r="P4" s="331"/>
      <c r="Q4" s="331"/>
      <c r="R4" s="331"/>
      <c r="S4" s="331"/>
      <c r="T4" s="331"/>
      <c r="U4" s="331"/>
      <c r="V4" s="331"/>
    </row>
    <row r="5" spans="1:23" ht="16.5" customHeight="1" x14ac:dyDescent="0.3">
      <c r="A5" s="144" t="s">
        <v>86</v>
      </c>
      <c r="B5" s="4"/>
      <c r="E5" s="331"/>
      <c r="F5" s="331"/>
      <c r="G5" s="331"/>
      <c r="H5" s="331"/>
      <c r="I5" s="331"/>
      <c r="J5" s="331"/>
      <c r="K5" s="331"/>
      <c r="L5" s="331"/>
      <c r="M5" s="331"/>
      <c r="N5" s="331"/>
      <c r="O5" s="331"/>
      <c r="P5" s="331"/>
      <c r="Q5" s="331"/>
      <c r="R5" s="331"/>
      <c r="S5" s="331"/>
      <c r="T5" s="331"/>
      <c r="U5" s="331"/>
      <c r="V5" s="331"/>
    </row>
    <row r="6" spans="1:23" ht="16.5" customHeight="1" x14ac:dyDescent="0.35">
      <c r="A6" s="144" t="s">
        <v>266</v>
      </c>
      <c r="B6" s="4"/>
      <c r="C6" s="11"/>
      <c r="D6" s="2"/>
      <c r="E6" s="331"/>
      <c r="F6" s="331"/>
      <c r="G6" s="331"/>
      <c r="H6" s="331"/>
      <c r="I6" s="331"/>
      <c r="J6" s="331"/>
      <c r="K6" s="331"/>
      <c r="L6" s="331"/>
      <c r="M6" s="331"/>
      <c r="N6" s="331"/>
      <c r="O6" s="331"/>
      <c r="P6" s="331"/>
      <c r="Q6" s="331"/>
      <c r="R6" s="331"/>
      <c r="S6" s="331"/>
      <c r="T6" s="331"/>
      <c r="U6" s="331"/>
      <c r="V6" s="331"/>
    </row>
    <row r="7" spans="1:23" ht="16.5" customHeight="1" x14ac:dyDescent="0.3">
      <c r="A7" s="144" t="s">
        <v>87</v>
      </c>
      <c r="B7" s="4"/>
      <c r="E7" s="331"/>
      <c r="F7" s="331"/>
      <c r="G7" s="331"/>
      <c r="H7" s="331"/>
      <c r="I7" s="331"/>
      <c r="J7" s="331"/>
      <c r="K7" s="331"/>
      <c r="L7" s="331"/>
      <c r="M7" s="331"/>
      <c r="N7" s="331"/>
      <c r="O7" s="331"/>
      <c r="P7" s="331"/>
      <c r="Q7" s="331"/>
      <c r="R7" s="331"/>
      <c r="S7" s="331"/>
      <c r="T7" s="331"/>
      <c r="U7" s="331"/>
      <c r="V7" s="331"/>
    </row>
    <row r="8" spans="1:23" ht="16.5" customHeight="1" x14ac:dyDescent="0.35">
      <c r="A8" s="144" t="s">
        <v>267</v>
      </c>
      <c r="E8" s="331"/>
      <c r="F8" s="331"/>
      <c r="G8" s="331"/>
      <c r="H8" s="331"/>
      <c r="I8" s="331"/>
      <c r="J8" s="331"/>
      <c r="K8" s="331"/>
      <c r="L8" s="331"/>
      <c r="M8" s="331"/>
      <c r="N8" s="331"/>
      <c r="O8" s="331"/>
      <c r="P8" s="331"/>
      <c r="Q8" s="331"/>
      <c r="R8" s="331"/>
      <c r="S8" s="331"/>
      <c r="T8" s="331"/>
      <c r="U8" s="331"/>
      <c r="V8" s="331"/>
    </row>
    <row r="9" spans="1:23" ht="16.5" customHeight="1" x14ac:dyDescent="0.3">
      <c r="A9" s="144" t="s">
        <v>88</v>
      </c>
      <c r="E9" s="331"/>
      <c r="F9" s="331"/>
      <c r="G9" s="331"/>
      <c r="H9" s="331"/>
      <c r="I9" s="331"/>
      <c r="J9" s="331"/>
      <c r="K9" s="331"/>
      <c r="L9" s="331"/>
      <c r="M9" s="331"/>
      <c r="N9" s="331"/>
      <c r="O9" s="331"/>
      <c r="P9" s="331"/>
      <c r="Q9" s="331"/>
      <c r="R9" s="331"/>
      <c r="S9" s="331"/>
      <c r="T9" s="331"/>
      <c r="U9" s="331"/>
      <c r="V9" s="331"/>
    </row>
    <row r="10" spans="1:23" ht="16.5" customHeight="1" x14ac:dyDescent="0.3">
      <c r="A10" s="144" t="s">
        <v>89</v>
      </c>
      <c r="E10" s="331"/>
      <c r="F10" s="331"/>
      <c r="G10" s="331"/>
      <c r="H10" s="331"/>
      <c r="I10" s="331"/>
      <c r="J10" s="331"/>
      <c r="K10" s="331"/>
      <c r="L10" s="331"/>
      <c r="M10" s="331"/>
      <c r="N10" s="331"/>
      <c r="O10" s="331"/>
      <c r="P10" s="331"/>
      <c r="Q10" s="331"/>
      <c r="R10" s="331"/>
      <c r="S10" s="331"/>
      <c r="T10" s="331"/>
      <c r="U10" s="331"/>
      <c r="V10" s="331"/>
    </row>
    <row r="11" spans="1:23" ht="16.5" customHeight="1" x14ac:dyDescent="0.3">
      <c r="A11" s="144"/>
      <c r="E11" s="331"/>
      <c r="F11" s="331"/>
      <c r="G11" s="331"/>
      <c r="H11" s="331"/>
      <c r="I11" s="331"/>
      <c r="J11" s="331"/>
      <c r="K11" s="331"/>
      <c r="L11" s="331"/>
      <c r="M11" s="331"/>
      <c r="N11" s="331"/>
      <c r="O11" s="331"/>
      <c r="P11" s="331"/>
      <c r="Q11" s="331"/>
      <c r="R11" s="331"/>
      <c r="S11" s="331"/>
      <c r="T11" s="331"/>
      <c r="U11" s="331"/>
      <c r="V11" s="331"/>
    </row>
    <row r="12" spans="1:23" ht="16.5" customHeight="1" x14ac:dyDescent="0.3">
      <c r="A12" s="144"/>
      <c r="E12" s="331"/>
      <c r="F12" s="331"/>
      <c r="G12" s="331"/>
      <c r="H12" s="331"/>
      <c r="I12" s="331"/>
      <c r="J12" s="331"/>
      <c r="K12" s="331"/>
      <c r="L12" s="331"/>
      <c r="M12" s="331"/>
      <c r="N12" s="331"/>
      <c r="O12" s="331"/>
      <c r="P12" s="331"/>
      <c r="Q12" s="331"/>
      <c r="R12" s="331"/>
      <c r="S12" s="331"/>
      <c r="T12" s="331"/>
      <c r="U12" s="331"/>
      <c r="V12" s="331"/>
    </row>
    <row r="13" spans="1:23" s="8" customFormat="1" ht="20.100000000000001" customHeight="1" thickBot="1" x14ac:dyDescent="0.3">
      <c r="A13" s="5"/>
      <c r="B13" s="2"/>
      <c r="C13" s="2"/>
      <c r="D13" s="6"/>
      <c r="E13" s="78"/>
      <c r="F13" s="78"/>
      <c r="G13" s="78"/>
      <c r="H13" s="78"/>
      <c r="I13" s="78"/>
      <c r="J13" s="78"/>
      <c r="K13" s="78"/>
      <c r="L13" s="78"/>
      <c r="M13" s="78"/>
      <c r="N13" s="78"/>
      <c r="O13" s="78"/>
      <c r="P13" s="78"/>
      <c r="Q13" s="78"/>
      <c r="R13" s="78"/>
      <c r="S13" s="78"/>
      <c r="T13" s="78"/>
      <c r="U13" s="78"/>
      <c r="V13" s="78"/>
    </row>
    <row r="14" spans="1:23" ht="15" customHeight="1" x14ac:dyDescent="0.25">
      <c r="A14" s="26"/>
      <c r="E14" s="315" t="s">
        <v>67</v>
      </c>
      <c r="F14" s="312" t="s">
        <v>115</v>
      </c>
      <c r="G14" s="312" t="s">
        <v>73</v>
      </c>
      <c r="H14" s="330" t="s">
        <v>51</v>
      </c>
      <c r="I14" s="312" t="s">
        <v>116</v>
      </c>
      <c r="J14" s="312" t="s">
        <v>117</v>
      </c>
      <c r="K14" s="330" t="s">
        <v>52</v>
      </c>
      <c r="L14" s="312" t="s">
        <v>270</v>
      </c>
      <c r="M14" s="330" t="s">
        <v>53</v>
      </c>
      <c r="N14" s="312" t="s">
        <v>118</v>
      </c>
      <c r="O14" s="330" t="s">
        <v>54</v>
      </c>
      <c r="P14" s="312" t="s">
        <v>119</v>
      </c>
      <c r="Q14" s="330" t="s">
        <v>55</v>
      </c>
      <c r="R14" s="312" t="s">
        <v>120</v>
      </c>
      <c r="S14" s="312" t="s">
        <v>121</v>
      </c>
      <c r="T14" s="312" t="s">
        <v>122</v>
      </c>
      <c r="U14" s="312" t="s">
        <v>123</v>
      </c>
      <c r="V14" s="319" t="s">
        <v>124</v>
      </c>
    </row>
    <row r="15" spans="1:23" s="51" customFormat="1" ht="21.75" customHeight="1" thickBot="1" x14ac:dyDescent="0.3">
      <c r="A15" s="8"/>
      <c r="B15" s="2"/>
      <c r="C15" s="2"/>
      <c r="D15" s="6"/>
      <c r="E15" s="320"/>
      <c r="F15" s="313"/>
      <c r="G15" s="313"/>
      <c r="H15" s="388"/>
      <c r="I15" s="313"/>
      <c r="J15" s="313"/>
      <c r="K15" s="388"/>
      <c r="L15" s="313"/>
      <c r="M15" s="388"/>
      <c r="N15" s="313"/>
      <c r="O15" s="388"/>
      <c r="P15" s="313"/>
      <c r="Q15" s="388"/>
      <c r="R15" s="313"/>
      <c r="S15" s="313"/>
      <c r="T15" s="313"/>
      <c r="U15" s="313"/>
      <c r="V15" s="342"/>
    </row>
    <row r="16" spans="1:23" ht="16.5" customHeight="1" x14ac:dyDescent="0.25">
      <c r="E16" s="315" t="str">
        <f>IF(('1. Datos generales del proyecto'!D31)="","",('1. Datos generales del proyecto'!D31))</f>
        <v/>
      </c>
      <c r="F16" s="84" t="str">
        <f>IF('2.1 Absorciones árboles'!E7=0,"",'2.1 Absorciones árboles'!E7)</f>
        <v/>
      </c>
      <c r="G16" s="170" t="str">
        <f>IFERROR(VLOOKUP(F16,Dades_PA!$A$6:$H$32,8,FALSE),"")</f>
        <v/>
      </c>
      <c r="H16" s="82" t="str">
        <f>IF(('2.1 Absorciones árboles'!H7&gt;0),('2.1 Absorciones árboles'!H7),"")</f>
        <v/>
      </c>
      <c r="I16" s="83"/>
      <c r="J16" s="170" t="str">
        <f>IFERROR((IF(G16="Rebrotadora","Vivas",IF(G16="No rebrotadora","Muertas",""))),"")</f>
        <v/>
      </c>
      <c r="K16" s="170" t="str">
        <f>CONCATENATE("BST-",H16)</f>
        <v>BST-</v>
      </c>
      <c r="L16" s="80"/>
      <c r="M16" s="93"/>
      <c r="N16" s="80"/>
      <c r="O16" s="93"/>
      <c r="P16" s="80"/>
      <c r="Q16" s="84" t="str">
        <f>CONCATENATE("Bt-",H16)</f>
        <v>Bt-</v>
      </c>
      <c r="R16" s="84" t="str">
        <f>IF(J16="Vivas",0,IF(J16="Muertas",((INDEX(Dades_PA!$B$45:$Y$71,(MATCH('2.2 Emisiones restos corta'!F16,Espècies,0)),(MATCH('2.2 Emisiones restos corta'!K16,Dades_PA!$B$44:$Y$44,0))))*(Dades_PA!$B$39/100)*I16),""))</f>
        <v/>
      </c>
      <c r="S16" s="84" t="str">
        <f>IF(L16="Quema",((INDEX(Dades_PA!$B$45:$Y$71,(MATCH('2.2 Emisiones restos corta'!F16,Espècies,0)),(MATCH('2.2 Emisiones restos corta'!M16,Dades_PA!$B$44:$Y$44,0))))*I16),IF(L16="Descomposición",((INDEX(Dades_PA!$B$45:$Y$71,(MATCH('2.2 Emisiones restos corta'!F16,Espècies,0)),(MATCH('2.2 Emisiones restos corta'!M16,Dades_PA!$B$44:$Y$44,0))))*(Dades_PA!$B$39/100)*I16),IF(L16="Producto",0,"")))</f>
        <v/>
      </c>
      <c r="T16" s="84" t="str">
        <f>IF(N16="Quema",((INDEX(Dades_PA!$B$45:$Y$71,(MATCH('2.2 Emisiones restos corta'!F16,Espècies,0)),(MATCH('2.2 Emisiones restos corta'!O16,Dades_PA!$B$44:$Y$44,0))))*I16),IF(N16="Descomposición",((INDEX(Dades_PA!$B$45:$Y$71,(MATCH('2.2 Emisiones restos corta'!F16,Espècies,0)),(MATCH('2.2 Emisiones restos corta'!O16,Dades_PA!$B$44:$Y$44,0))))*(Dades_PA!$B$39/100)*I16),IF(N16="Producto",0,"")))</f>
        <v/>
      </c>
      <c r="U16" s="84" t="str">
        <f>IF(P16="Quema",((INDEX(Dades_PA!$B$45:$Y$71,(MATCH('2.2 Emisiones restos corta'!F16,Espècies,0)),(MATCH('2.2 Emisiones restos corta'!Q16,Dades_PA!$B$44:$Y$44,0))))*I16),IF(P16="Descomposición",((INDEX(Dades_PA!$B$45:$Y$71,(MATCH('2.2 Emisiones restos corta'!F16,Espècies,0)),(MATCH('2.2 Emisiones restos corta'!Q16,Dades_PA!$B$44:$Y$44,0))))*(Dades_PA!$B$39/100)*I16),IF(P16="Producto",0,"")))</f>
        <v/>
      </c>
      <c r="V16" s="108" t="str">
        <f t="shared" ref="V16:V17" si="0">IF(R16="","",(SUM(R16:U16)))</f>
        <v/>
      </c>
    </row>
    <row r="17" spans="5:22" ht="15.75" customHeight="1" x14ac:dyDescent="0.25">
      <c r="E17" s="316"/>
      <c r="F17" s="88" t="str">
        <f>IF('2.1 Absorciones árboles'!E8=0,"",'2.1 Absorciones árboles'!E8)</f>
        <v/>
      </c>
      <c r="G17" s="171" t="str">
        <f>IFERROR(VLOOKUP(F17,Dades_PA!$A$6:$H$32,8,FALSE),"")</f>
        <v/>
      </c>
      <c r="H17" s="86" t="str">
        <f>$H$16</f>
        <v/>
      </c>
      <c r="I17" s="87"/>
      <c r="J17" s="171" t="str">
        <f t="shared" ref="J17:J65" si="1">IFERROR((IF(G17="Rebrotadora","Vivas",IF(G17="No rebrotadora","Muertas",""))),"")</f>
        <v/>
      </c>
      <c r="K17" s="171" t="str">
        <f t="shared" ref="K17:K65" si="2">CONCATENATE("BST-",H17)</f>
        <v>BST-</v>
      </c>
      <c r="L17" s="95"/>
      <c r="M17" s="200"/>
      <c r="N17" s="95"/>
      <c r="O17" s="94"/>
      <c r="P17" s="95"/>
      <c r="Q17" s="88" t="str">
        <f t="shared" ref="Q17:Q65" si="3">CONCATENATE("Bt-",H17)</f>
        <v>Bt-</v>
      </c>
      <c r="R17" s="88" t="str">
        <f>IF(J17="Vivas",0,IF(J17="Muertas",((INDEX(Dades_PA!$B$45:$Y$71,(MATCH('2.2 Emisiones restos corta'!F17,Espècies,0)),(MATCH('2.2 Emisiones restos corta'!K17,Dades_PA!$B$44:$Y$44,0))))*(Dades_PA!$B$39/100)*I17),""))</f>
        <v/>
      </c>
      <c r="S17" s="88" t="str">
        <f>IF(L17="Quema",((INDEX(Dades_PA!$B$45:$Y$71,(MATCH('2.2 Emisiones restos corta'!F17,Espècies,0)),(MATCH('2.2 Emisiones restos corta'!M17,Dades_PA!$B$44:$Y$44,0))))*I17),IF(L17="Descomposición",((INDEX(Dades_PA!$B$45:$Y$71,(MATCH('2.2 Emisiones restos corta'!F17,Espècies,0)),(MATCH('2.2 Emisiones restos corta'!M17,Dades_PA!$B$44:$Y$44,0))))*(Dades_PA!$B$39/100)*I17),IF(L17="Producto",0,"")))</f>
        <v/>
      </c>
      <c r="T17" s="88" t="str">
        <f>IF(N17="Quema",((INDEX(Dades_PA!$B$45:$Y$71,(MATCH('2.2 Emisiones restos corta'!F17,Espècies,0)),(MATCH('2.2 Emisiones restos corta'!O17,Dades_PA!$B$44:$Y$44,0))))*I17),IF(N17="Descomposición",((INDEX(Dades_PA!$B$45:$Y$71,(MATCH('2.2 Emisiones restos corta'!F17,Espècies,0)),(MATCH('2.2 Emisiones restos corta'!O17,Dades_PA!$B$44:$Y$44,0))))*(Dades_PA!$B$39/100)*I17),IF(N17="Producto",0,"")))</f>
        <v/>
      </c>
      <c r="U17" s="88" t="str">
        <f>IF(P17="Quema",((INDEX(Dades_PA!$B$45:$Y$71,(MATCH('2.2 Emisiones restos corta'!F17,Espècies,0)),(MATCH('2.2 Emisiones restos corta'!Q17,Dades_PA!$B$44:$Y$44,0))))*I17),IF(P17="Descomposición",((INDEX(Dades_PA!$B$45:$Y$71,(MATCH('2.2 Emisiones restos corta'!F17,Espècies,0)),(MATCH('2.2 Emisiones restos corta'!Q17,Dades_PA!$B$44:$Y$44,0))))*(Dades_PA!$B$39/100)*I17),IF(P17="Producto",0,"")))</f>
        <v/>
      </c>
      <c r="V17" s="109" t="str">
        <f t="shared" si="0"/>
        <v/>
      </c>
    </row>
    <row r="18" spans="5:22" ht="15.75" customHeight="1" x14ac:dyDescent="0.25">
      <c r="E18" s="316"/>
      <c r="F18" s="88" t="str">
        <f>IF('2.1 Absorciones árboles'!E9=0,"",'2.1 Absorciones árboles'!E9)</f>
        <v/>
      </c>
      <c r="G18" s="171" t="str">
        <f>IFERROR(VLOOKUP(F18,Dades_PA!$A$6:$H$32,8,FALSE),"")</f>
        <v/>
      </c>
      <c r="H18" s="86" t="str">
        <f t="shared" ref="H18:H25" si="4">$H$16</f>
        <v/>
      </c>
      <c r="I18" s="87"/>
      <c r="J18" s="171" t="str">
        <f t="shared" si="1"/>
        <v/>
      </c>
      <c r="K18" s="171" t="str">
        <f t="shared" si="2"/>
        <v>BST-</v>
      </c>
      <c r="L18" s="95"/>
      <c r="M18" s="200"/>
      <c r="N18" s="95"/>
      <c r="O18" s="94"/>
      <c r="P18" s="95"/>
      <c r="Q18" s="88" t="str">
        <f t="shared" si="3"/>
        <v>Bt-</v>
      </c>
      <c r="R18" s="88" t="str">
        <f>IF(J18="Vivas",0,IF(J18="Muertas",((INDEX(Dades_PA!$B$45:$Y$71,(MATCH('2.2 Emisiones restos corta'!F18,Espècies,0)),(MATCH('2.2 Emisiones restos corta'!K18,Dades_PA!$B$44:$Y$44,0))))*(Dades_PA!$B$39/100)*I18),""))</f>
        <v/>
      </c>
      <c r="S18" s="88" t="str">
        <f>IF(L18="Quema",((INDEX(Dades_PA!$B$45:$Y$71,(MATCH('2.2 Emisiones restos corta'!F18,Espècies,0)),(MATCH('2.2 Emisiones restos corta'!M18,Dades_PA!$B$44:$Y$44,0))))*I18),IF(L18="Descomposición",((INDEX(Dades_PA!$B$45:$Y$71,(MATCH('2.2 Emisiones restos corta'!F18,Espècies,0)),(MATCH('2.2 Emisiones restos corta'!M18,Dades_PA!$B$44:$Y$44,0))))*(Dades_PA!$B$39/100)*I18),IF(L18="Producto",0,"")))</f>
        <v/>
      </c>
      <c r="T18" s="88" t="str">
        <f>IF(N18="Quema",((INDEX(Dades_PA!$B$45:$Y$71,(MATCH('2.2 Emisiones restos corta'!F18,Espècies,0)),(MATCH('2.2 Emisiones restos corta'!O18,Dades_PA!$B$44:$Y$44,0))))*I18),IF(N18="Descomposición",((INDEX(Dades_PA!$B$45:$Y$71,(MATCH('2.2 Emisiones restos corta'!F18,Espècies,0)),(MATCH('2.2 Emisiones restos corta'!O18,Dades_PA!$B$44:$Y$44,0))))*(Dades_PA!$B$39/100)*I18),IF(N18="Producto",0,"")))</f>
        <v/>
      </c>
      <c r="U18" s="88" t="str">
        <f>IF(P18="Quema",((INDEX(Dades_PA!$B$45:$Y$71,(MATCH('2.2 Emisiones restos corta'!F18,Espècies,0)),(MATCH('2.2 Emisiones restos corta'!Q18,Dades_PA!$B$44:$Y$44,0))))*I18),IF(P18="Descomposición",((INDEX(Dades_PA!$B$45:$Y$71,(MATCH('2.2 Emisiones restos corta'!F18,Espècies,0)),(MATCH('2.2 Emisiones restos corta'!Q18,Dades_PA!$B$44:$Y$44,0))))*(Dades_PA!$B$39/100)*I18),IF(P18="Producto",0,"")))</f>
        <v/>
      </c>
      <c r="V18" s="109" t="str">
        <f>IF(R18="","",(SUM(R18:U18)))</f>
        <v/>
      </c>
    </row>
    <row r="19" spans="5:22" ht="15.75" customHeight="1" x14ac:dyDescent="0.25">
      <c r="E19" s="316"/>
      <c r="F19" s="88" t="str">
        <f>IF('2.1 Absorciones árboles'!E10=0,"",'2.1 Absorciones árboles'!E10)</f>
        <v/>
      </c>
      <c r="G19" s="171" t="str">
        <f>IFERROR(VLOOKUP(F19,Dades_PA!$A$6:$H$32,8,FALSE),"")</f>
        <v/>
      </c>
      <c r="H19" s="86" t="str">
        <f t="shared" si="4"/>
        <v/>
      </c>
      <c r="I19" s="87"/>
      <c r="J19" s="171" t="str">
        <f t="shared" si="1"/>
        <v/>
      </c>
      <c r="K19" s="171" t="str">
        <f t="shared" si="2"/>
        <v>BST-</v>
      </c>
      <c r="L19" s="95"/>
      <c r="M19" s="200"/>
      <c r="N19" s="95"/>
      <c r="O19" s="94"/>
      <c r="P19" s="95"/>
      <c r="Q19" s="88" t="str">
        <f t="shared" si="3"/>
        <v>Bt-</v>
      </c>
      <c r="R19" s="88" t="str">
        <f>IF(J19="Vivas",0,IF(J19="Muertas",((INDEX(Dades_PA!$B$45:$Y$71,(MATCH('2.2 Emisiones restos corta'!F19,Espècies,0)),(MATCH('2.2 Emisiones restos corta'!K19,Dades_PA!$B$44:$Y$44,0))))*(Dades_PA!$B$39/100)*I19),""))</f>
        <v/>
      </c>
      <c r="S19" s="88" t="str">
        <f>IF(L19="Quema",((INDEX(Dades_PA!$B$45:$Y$71,(MATCH('2.2 Emisiones restos corta'!F19,Espècies,0)),(MATCH('2.2 Emisiones restos corta'!M19,Dades_PA!$B$44:$Y$44,0))))*I19),IF(L19="Descomposición",((INDEX(Dades_PA!$B$45:$Y$71,(MATCH('2.2 Emisiones restos corta'!F19,Espècies,0)),(MATCH('2.2 Emisiones restos corta'!M19,Dades_PA!$B$44:$Y$44,0))))*(Dades_PA!$B$39/100)*I19),IF(L19="Producto",0,"")))</f>
        <v/>
      </c>
      <c r="T19" s="88" t="str">
        <f>IF(N19="Quema",((INDEX(Dades_PA!$B$45:$Y$71,(MATCH('2.2 Emisiones restos corta'!F19,Espècies,0)),(MATCH('2.2 Emisiones restos corta'!O19,Dades_PA!$B$44:$Y$44,0))))*I19),IF(N19="Descomposición",((INDEX(Dades_PA!$B$45:$Y$71,(MATCH('2.2 Emisiones restos corta'!F19,Espècies,0)),(MATCH('2.2 Emisiones restos corta'!O19,Dades_PA!$B$44:$Y$44,0))))*(Dades_PA!$B$39/100)*I19),IF(N19="Producto",0,"")))</f>
        <v/>
      </c>
      <c r="U19" s="88" t="str">
        <f>IF(P19="Quema",((INDEX(Dades_PA!$B$45:$Y$71,(MATCH('2.2 Emisiones restos corta'!F19,Espècies,0)),(MATCH('2.2 Emisiones restos corta'!Q19,Dades_PA!$B$44:$Y$44,0))))*I19),IF(P19="Descomposición",((INDEX(Dades_PA!$B$45:$Y$71,(MATCH('2.2 Emisiones restos corta'!F19,Espècies,0)),(MATCH('2.2 Emisiones restos corta'!Q19,Dades_PA!$B$44:$Y$44,0))))*(Dades_PA!$B$39/100)*I19),IF(P19="Producto",0,"")))</f>
        <v/>
      </c>
      <c r="V19" s="109" t="str">
        <f t="shared" ref="V19:V65" si="5">IF(R19="","",(SUM(R19:U19)))</f>
        <v/>
      </c>
    </row>
    <row r="20" spans="5:22" ht="15.75" customHeight="1" x14ac:dyDescent="0.25">
      <c r="E20" s="316"/>
      <c r="F20" s="88" t="str">
        <f>IF('2.1 Absorciones árboles'!E11=0,"",'2.1 Absorciones árboles'!E11)</f>
        <v/>
      </c>
      <c r="G20" s="171" t="str">
        <f>IFERROR(VLOOKUP(F20,Dades_PA!$A$6:$H$32,8,FALSE),"")</f>
        <v/>
      </c>
      <c r="H20" s="86" t="str">
        <f t="shared" si="4"/>
        <v/>
      </c>
      <c r="I20" s="87"/>
      <c r="J20" s="171" t="str">
        <f t="shared" si="1"/>
        <v/>
      </c>
      <c r="K20" s="171" t="str">
        <f t="shared" si="2"/>
        <v>BST-</v>
      </c>
      <c r="L20" s="95"/>
      <c r="M20" s="200"/>
      <c r="N20" s="95"/>
      <c r="O20" s="94"/>
      <c r="P20" s="95"/>
      <c r="Q20" s="88" t="str">
        <f t="shared" si="3"/>
        <v>Bt-</v>
      </c>
      <c r="R20" s="88" t="str">
        <f>IF(J20="Vivas",0,IF(J20="Muertas",((INDEX(Dades_PA!$B$45:$Y$71,(MATCH('2.2 Emisiones restos corta'!F20,Espècies,0)),(MATCH('2.2 Emisiones restos corta'!K20,Dades_PA!$B$44:$Y$44,0))))*(Dades_PA!$B$39/100)*I20),""))</f>
        <v/>
      </c>
      <c r="S20" s="88" t="str">
        <f>IF(L20="Quema",((INDEX(Dades_PA!$B$45:$Y$71,(MATCH('2.2 Emisiones restos corta'!F20,Espècies,0)),(MATCH('2.2 Emisiones restos corta'!M20,Dades_PA!$B$44:$Y$44,0))))*I20),IF(L20="Descomposición",((INDEX(Dades_PA!$B$45:$Y$71,(MATCH('2.2 Emisiones restos corta'!F20,Espècies,0)),(MATCH('2.2 Emisiones restos corta'!M20,Dades_PA!$B$44:$Y$44,0))))*(Dades_PA!$B$39/100)*I20),IF(L20="Producto",0,"")))</f>
        <v/>
      </c>
      <c r="T20" s="88" t="str">
        <f>IF(N20="Quema",((INDEX(Dades_PA!$B$45:$Y$71,(MATCH('2.2 Emisiones restos corta'!F20,Espècies,0)),(MATCH('2.2 Emisiones restos corta'!O20,Dades_PA!$B$44:$Y$44,0))))*I20),IF(N20="Descomposición",((INDEX(Dades_PA!$B$45:$Y$71,(MATCH('2.2 Emisiones restos corta'!F20,Espècies,0)),(MATCH('2.2 Emisiones restos corta'!O20,Dades_PA!$B$44:$Y$44,0))))*(Dades_PA!$B$39/100)*I20),IF(N20="Producto",0,"")))</f>
        <v/>
      </c>
      <c r="U20" s="88" t="str">
        <f>IF(P20="Quema",((INDEX(Dades_PA!$B$45:$Y$71,(MATCH('2.2 Emisiones restos corta'!F20,Espècies,0)),(MATCH('2.2 Emisiones restos corta'!Q20,Dades_PA!$B$44:$Y$44,0))))*I20),IF(P20="Descomposición",((INDEX(Dades_PA!$B$45:$Y$71,(MATCH('2.2 Emisiones restos corta'!F20,Espècies,0)),(MATCH('2.2 Emisiones restos corta'!Q20,Dades_PA!$B$44:$Y$44,0))))*(Dades_PA!$B$39/100)*I20),IF(P20="Producto",0,"")))</f>
        <v/>
      </c>
      <c r="V20" s="109" t="str">
        <f t="shared" si="5"/>
        <v/>
      </c>
    </row>
    <row r="21" spans="5:22" ht="15.75" customHeight="1" x14ac:dyDescent="0.25">
      <c r="E21" s="316"/>
      <c r="F21" s="88" t="str">
        <f>IF('2.1 Absorciones árboles'!E12=0,"",'2.1 Absorciones árboles'!E12)</f>
        <v/>
      </c>
      <c r="G21" s="171" t="str">
        <f>IFERROR(VLOOKUP(F21,Dades_PA!$A$6:$H$32,8,FALSE),"")</f>
        <v/>
      </c>
      <c r="H21" s="86" t="str">
        <f t="shared" si="4"/>
        <v/>
      </c>
      <c r="I21" s="87"/>
      <c r="J21" s="171" t="str">
        <f t="shared" si="1"/>
        <v/>
      </c>
      <c r="K21" s="171" t="str">
        <f t="shared" si="2"/>
        <v>BST-</v>
      </c>
      <c r="L21" s="95"/>
      <c r="M21" s="200"/>
      <c r="N21" s="95"/>
      <c r="O21" s="94"/>
      <c r="P21" s="95"/>
      <c r="Q21" s="88" t="str">
        <f t="shared" si="3"/>
        <v>Bt-</v>
      </c>
      <c r="R21" s="88" t="str">
        <f>IF(J21="Vivas",0,IF(J21="Muertas",((INDEX(Dades_PA!$B$45:$Y$71,(MATCH('2.2 Emisiones restos corta'!F21,Espècies,0)),(MATCH('2.2 Emisiones restos corta'!K21,Dades_PA!$B$44:$Y$44,0))))*(Dades_PA!$B$39/100)*I21),""))</f>
        <v/>
      </c>
      <c r="S21" s="88" t="str">
        <f>IF(L21="Quema",((INDEX(Dades_PA!$B$45:$Y$71,(MATCH('2.2 Emisiones restos corta'!F21,Espècies,0)),(MATCH('2.2 Emisiones restos corta'!M21,Dades_PA!$B$44:$Y$44,0))))*I21),IF(L21="Descomposición",((INDEX(Dades_PA!$B$45:$Y$71,(MATCH('2.2 Emisiones restos corta'!F21,Espècies,0)),(MATCH('2.2 Emisiones restos corta'!M21,Dades_PA!$B$44:$Y$44,0))))*(Dades_PA!$B$39/100)*I21),IF(L21="Producto",0,"")))</f>
        <v/>
      </c>
      <c r="T21" s="88" t="str">
        <f>IF(N21="Quema",((INDEX(Dades_PA!$B$45:$Y$71,(MATCH('2.2 Emisiones restos corta'!F21,Espècies,0)),(MATCH('2.2 Emisiones restos corta'!O21,Dades_PA!$B$44:$Y$44,0))))*I21),IF(N21="Descomposición",((INDEX(Dades_PA!$B$45:$Y$71,(MATCH('2.2 Emisiones restos corta'!F21,Espècies,0)),(MATCH('2.2 Emisiones restos corta'!O21,Dades_PA!$B$44:$Y$44,0))))*(Dades_PA!$B$39/100)*I21),IF(N21="Producto",0,"")))</f>
        <v/>
      </c>
      <c r="U21" s="88" t="str">
        <f>IF(P21="Quema",((INDEX(Dades_PA!$B$45:$Y$71,(MATCH('2.2 Emisiones restos corta'!F21,Espècies,0)),(MATCH('2.2 Emisiones restos corta'!Q21,Dades_PA!$B$44:$Y$44,0))))*I21),IF(P21="Descomposición",((INDEX(Dades_PA!$B$45:$Y$71,(MATCH('2.2 Emisiones restos corta'!F21,Espècies,0)),(MATCH('2.2 Emisiones restos corta'!Q21,Dades_PA!$B$44:$Y$44,0))))*(Dades_PA!$B$39/100)*I21),IF(P21="Producto",0,"")))</f>
        <v/>
      </c>
      <c r="V21" s="109" t="str">
        <f t="shared" si="5"/>
        <v/>
      </c>
    </row>
    <row r="22" spans="5:22" ht="15.75" customHeight="1" x14ac:dyDescent="0.25">
      <c r="E22" s="316"/>
      <c r="F22" s="88" t="str">
        <f>IF('2.1 Absorciones árboles'!E13=0,"",'2.1 Absorciones árboles'!E13)</f>
        <v/>
      </c>
      <c r="G22" s="171" t="str">
        <f>IFERROR(VLOOKUP(F22,Dades_PA!$A$6:$H$32,8,FALSE),"")</f>
        <v/>
      </c>
      <c r="H22" s="86" t="str">
        <f t="shared" si="4"/>
        <v/>
      </c>
      <c r="I22" s="87"/>
      <c r="J22" s="171" t="str">
        <f t="shared" si="1"/>
        <v/>
      </c>
      <c r="K22" s="171" t="str">
        <f t="shared" si="2"/>
        <v>BST-</v>
      </c>
      <c r="L22" s="95"/>
      <c r="M22" s="200"/>
      <c r="N22" s="95"/>
      <c r="O22" s="94"/>
      <c r="P22" s="95"/>
      <c r="Q22" s="88" t="str">
        <f t="shared" si="3"/>
        <v>Bt-</v>
      </c>
      <c r="R22" s="88" t="str">
        <f>IF(J22="Vivas",0,IF(J22="Muertas",((INDEX(Dades_PA!$B$45:$Y$71,(MATCH('2.2 Emisiones restos corta'!F22,Espècies,0)),(MATCH('2.2 Emisiones restos corta'!K22,Dades_PA!$B$44:$Y$44,0))))*(Dades_PA!$B$39/100)*I22),""))</f>
        <v/>
      </c>
      <c r="S22" s="88" t="str">
        <f>IF(L22="Quema",((INDEX(Dades_PA!$B$45:$Y$71,(MATCH('2.2 Emisiones restos corta'!F22,Espècies,0)),(MATCH('2.2 Emisiones restos corta'!M22,Dades_PA!$B$44:$Y$44,0))))*I22),IF(L22="Descomposición",((INDEX(Dades_PA!$B$45:$Y$71,(MATCH('2.2 Emisiones restos corta'!F22,Espècies,0)),(MATCH('2.2 Emisiones restos corta'!M22,Dades_PA!$B$44:$Y$44,0))))*(Dades_PA!$B$39/100)*I22),IF(L22="Producto",0,"")))</f>
        <v/>
      </c>
      <c r="T22" s="88" t="str">
        <f>IF(N22="Quema",((INDEX(Dades_PA!$B$45:$Y$71,(MATCH('2.2 Emisiones restos corta'!F22,Espècies,0)),(MATCH('2.2 Emisiones restos corta'!O22,Dades_PA!$B$44:$Y$44,0))))*I22),IF(N22="Descomposición",((INDEX(Dades_PA!$B$45:$Y$71,(MATCH('2.2 Emisiones restos corta'!F22,Espècies,0)),(MATCH('2.2 Emisiones restos corta'!O22,Dades_PA!$B$44:$Y$44,0))))*(Dades_PA!$B$39/100)*I22),IF(N22="Producto",0,"")))</f>
        <v/>
      </c>
      <c r="U22" s="88" t="str">
        <f>IF(P22="Quema",((INDEX(Dades_PA!$B$45:$Y$71,(MATCH('2.2 Emisiones restos corta'!F22,Espècies,0)),(MATCH('2.2 Emisiones restos corta'!Q22,Dades_PA!$B$44:$Y$44,0))))*I22),IF(P22="Descomposición",((INDEX(Dades_PA!$B$45:$Y$71,(MATCH('2.2 Emisiones restos corta'!F22,Espècies,0)),(MATCH('2.2 Emisiones restos corta'!Q22,Dades_PA!$B$44:$Y$44,0))))*(Dades_PA!$B$39/100)*I22),IF(P22="Producto",0,"")))</f>
        <v/>
      </c>
      <c r="V22" s="109" t="str">
        <f t="shared" si="5"/>
        <v/>
      </c>
    </row>
    <row r="23" spans="5:22" ht="15.75" customHeight="1" x14ac:dyDescent="0.25">
      <c r="E23" s="316"/>
      <c r="F23" s="88" t="str">
        <f>IF('2.1 Absorciones árboles'!E14=0,"",'2.1 Absorciones árboles'!E14)</f>
        <v/>
      </c>
      <c r="G23" s="171" t="str">
        <f>IFERROR(VLOOKUP(F23,Dades_PA!$A$6:$H$32,8,FALSE),"")</f>
        <v/>
      </c>
      <c r="H23" s="86" t="str">
        <f t="shared" si="4"/>
        <v/>
      </c>
      <c r="I23" s="87"/>
      <c r="J23" s="171" t="str">
        <f t="shared" si="1"/>
        <v/>
      </c>
      <c r="K23" s="171" t="str">
        <f t="shared" si="2"/>
        <v>BST-</v>
      </c>
      <c r="L23" s="95"/>
      <c r="M23" s="200"/>
      <c r="N23" s="95"/>
      <c r="O23" s="94"/>
      <c r="P23" s="95"/>
      <c r="Q23" s="88" t="str">
        <f t="shared" si="3"/>
        <v>Bt-</v>
      </c>
      <c r="R23" s="88" t="str">
        <f>IF(J23="Vivas",0,IF(J23="Muertas",((INDEX(Dades_PA!$B$45:$Y$71,(MATCH('2.2 Emisiones restos corta'!F23,Espècies,0)),(MATCH('2.2 Emisiones restos corta'!K23,Dades_PA!$B$44:$Y$44,0))))*(Dades_PA!$B$39/100)*I23),""))</f>
        <v/>
      </c>
      <c r="S23" s="88" t="str">
        <f>IF(L23="Quema",((INDEX(Dades_PA!$B$45:$Y$71,(MATCH('2.2 Emisiones restos corta'!F23,Espècies,0)),(MATCH('2.2 Emisiones restos corta'!M23,Dades_PA!$B$44:$Y$44,0))))*I23),IF(L23="Descomposición",((INDEX(Dades_PA!$B$45:$Y$71,(MATCH('2.2 Emisiones restos corta'!F23,Espècies,0)),(MATCH('2.2 Emisiones restos corta'!M23,Dades_PA!$B$44:$Y$44,0))))*(Dades_PA!$B$39/100)*I23),IF(L23="Producto",0,"")))</f>
        <v/>
      </c>
      <c r="T23" s="88" t="str">
        <f>IF(N23="Quema",((INDEX(Dades_PA!$B$45:$Y$71,(MATCH('2.2 Emisiones restos corta'!F23,Espècies,0)),(MATCH('2.2 Emisiones restos corta'!O23,Dades_PA!$B$44:$Y$44,0))))*I23),IF(N23="Descomposición",((INDEX(Dades_PA!$B$45:$Y$71,(MATCH('2.2 Emisiones restos corta'!F23,Espècies,0)),(MATCH('2.2 Emisiones restos corta'!O23,Dades_PA!$B$44:$Y$44,0))))*(Dades_PA!$B$39/100)*I23),IF(N23="Producto",0,"")))</f>
        <v/>
      </c>
      <c r="U23" s="88" t="str">
        <f>IF(P23="Quema",((INDEX(Dades_PA!$B$45:$Y$71,(MATCH('2.2 Emisiones restos corta'!F23,Espècies,0)),(MATCH('2.2 Emisiones restos corta'!Q23,Dades_PA!$B$44:$Y$44,0))))*I23),IF(P23="Descomposición",((INDEX(Dades_PA!$B$45:$Y$71,(MATCH('2.2 Emisiones restos corta'!F23,Espècies,0)),(MATCH('2.2 Emisiones restos corta'!Q23,Dades_PA!$B$44:$Y$44,0))))*(Dades_PA!$B$39/100)*I23),IF(P23="Producto",0,"")))</f>
        <v/>
      </c>
      <c r="V23" s="109" t="str">
        <f t="shared" si="5"/>
        <v/>
      </c>
    </row>
    <row r="24" spans="5:22" ht="15.75" customHeight="1" x14ac:dyDescent="0.25">
      <c r="E24" s="316"/>
      <c r="F24" s="88" t="str">
        <f>IF('2.1 Absorciones árboles'!E15=0,"",'2.1 Absorciones árboles'!E15)</f>
        <v/>
      </c>
      <c r="G24" s="171" t="str">
        <f>IFERROR(VLOOKUP(F24,Dades_PA!$A$6:$H$32,8,FALSE),"")</f>
        <v/>
      </c>
      <c r="H24" s="86" t="str">
        <f t="shared" si="4"/>
        <v/>
      </c>
      <c r="I24" s="87"/>
      <c r="J24" s="171" t="str">
        <f t="shared" si="1"/>
        <v/>
      </c>
      <c r="K24" s="171" t="str">
        <f t="shared" si="2"/>
        <v>BST-</v>
      </c>
      <c r="L24" s="95"/>
      <c r="M24" s="200"/>
      <c r="N24" s="95"/>
      <c r="O24" s="94"/>
      <c r="P24" s="95"/>
      <c r="Q24" s="88" t="str">
        <f t="shared" si="3"/>
        <v>Bt-</v>
      </c>
      <c r="R24" s="88" t="str">
        <f>IF(J24="Vivas",0,IF(J24="Muertas",((INDEX(Dades_PA!$B$45:$Y$71,(MATCH('2.2 Emisiones restos corta'!F24,Espècies,0)),(MATCH('2.2 Emisiones restos corta'!K24,Dades_PA!$B$44:$Y$44,0))))*(Dades_PA!$B$39/100)*I24),""))</f>
        <v/>
      </c>
      <c r="S24" s="88" t="str">
        <f>IF(L24="Quema",((INDEX(Dades_PA!$B$45:$Y$71,(MATCH('2.2 Emisiones restos corta'!F24,Espècies,0)),(MATCH('2.2 Emisiones restos corta'!M24,Dades_PA!$B$44:$Y$44,0))))*I24),IF(L24="Descomposición",((INDEX(Dades_PA!$B$45:$Y$71,(MATCH('2.2 Emisiones restos corta'!F24,Espècies,0)),(MATCH('2.2 Emisiones restos corta'!M24,Dades_PA!$B$44:$Y$44,0))))*(Dades_PA!$B$39/100)*I24),IF(L24="Producto",0,"")))</f>
        <v/>
      </c>
      <c r="T24" s="88" t="str">
        <f>IF(N24="Quema",((INDEX(Dades_PA!$B$45:$Y$71,(MATCH('2.2 Emisiones restos corta'!F24,Espècies,0)),(MATCH('2.2 Emisiones restos corta'!O24,Dades_PA!$B$44:$Y$44,0))))*I24),IF(N24="Descomposición",((INDEX(Dades_PA!$B$45:$Y$71,(MATCH('2.2 Emisiones restos corta'!F24,Espècies,0)),(MATCH('2.2 Emisiones restos corta'!O24,Dades_PA!$B$44:$Y$44,0))))*(Dades_PA!$B$39/100)*I24),IF(N24="Producto",0,"")))</f>
        <v/>
      </c>
      <c r="U24" s="88" t="str">
        <f>IF(P24="Quema",((INDEX(Dades_PA!$B$45:$Y$71,(MATCH('2.2 Emisiones restos corta'!F24,Espècies,0)),(MATCH('2.2 Emisiones restos corta'!Q24,Dades_PA!$B$44:$Y$44,0))))*I24),IF(P24="Descomposición",((INDEX(Dades_PA!$B$45:$Y$71,(MATCH('2.2 Emisiones restos corta'!F24,Espècies,0)),(MATCH('2.2 Emisiones restos corta'!Q24,Dades_PA!$B$44:$Y$44,0))))*(Dades_PA!$B$39/100)*I24),IF(P24="Producto",0,"")))</f>
        <v/>
      </c>
      <c r="V24" s="109" t="str">
        <f t="shared" si="5"/>
        <v/>
      </c>
    </row>
    <row r="25" spans="5:22" ht="15.75" customHeight="1" thickBot="1" x14ac:dyDescent="0.3">
      <c r="E25" s="317"/>
      <c r="F25" s="92" t="str">
        <f>IF('2.1 Absorciones árboles'!E16=0,"",'2.1 Absorciones árboles'!E16)</f>
        <v/>
      </c>
      <c r="G25" s="172" t="str">
        <f>IFERROR(VLOOKUP(F25,Dades_PA!$A$6:$H$32,8,FALSE),"")</f>
        <v/>
      </c>
      <c r="H25" s="90" t="str">
        <f t="shared" si="4"/>
        <v/>
      </c>
      <c r="I25" s="91"/>
      <c r="J25" s="172" t="str">
        <f t="shared" si="1"/>
        <v/>
      </c>
      <c r="K25" s="172" t="str">
        <f t="shared" si="2"/>
        <v>BST-</v>
      </c>
      <c r="L25" s="97"/>
      <c r="M25" s="207"/>
      <c r="N25" s="97"/>
      <c r="O25" s="96"/>
      <c r="P25" s="97"/>
      <c r="Q25" s="92" t="str">
        <f t="shared" si="3"/>
        <v>Bt-</v>
      </c>
      <c r="R25" s="92" t="str">
        <f>IF(J25="Vivas",0,IF(J25="Muertas",((INDEX(Dades_PA!$B$45:$Y$71,(MATCH('2.2 Emisiones restos corta'!F25,Espècies,0)),(MATCH('2.2 Emisiones restos corta'!K25,Dades_PA!$B$44:$Y$44,0))))*(Dades_PA!$B$39/100)*I25),""))</f>
        <v/>
      </c>
      <c r="S25" s="92" t="str">
        <f>IF(L25="Quema",((INDEX(Dades_PA!$B$45:$Y$71,(MATCH('2.2 Emisiones restos corta'!F25,Espècies,0)),(MATCH('2.2 Emisiones restos corta'!M25,Dades_PA!$B$44:$Y$44,0))))*I25),IF(L25="Descomposición",((INDEX(Dades_PA!$B$45:$Y$71,(MATCH('2.2 Emisiones restos corta'!F25,Espècies,0)),(MATCH('2.2 Emisiones restos corta'!M25,Dades_PA!$B$44:$Y$44,0))))*(Dades_PA!$B$39/100)*I25),IF(L25="Producto",0,"")))</f>
        <v/>
      </c>
      <c r="T25" s="92" t="str">
        <f>IF(N25="Quema",((INDEX(Dades_PA!$B$45:$Y$71,(MATCH('2.2 Emisiones restos corta'!F25,Espècies,0)),(MATCH('2.2 Emisiones restos corta'!O25,Dades_PA!$B$44:$Y$44,0))))*I25),IF(N25="Descomposición",((INDEX(Dades_PA!$B$45:$Y$71,(MATCH('2.2 Emisiones restos corta'!F25,Espècies,0)),(MATCH('2.2 Emisiones restos corta'!O25,Dades_PA!$B$44:$Y$44,0))))*(Dades_PA!$B$39/100)*I25),IF(N25="Producto",0,"")))</f>
        <v/>
      </c>
      <c r="U25" s="92" t="str">
        <f>IF(P25="Quema",((INDEX(Dades_PA!$B$45:$Y$71,(MATCH('2.2 Emisiones restos corta'!F25,Espècies,0)),(MATCH('2.2 Emisiones restos corta'!Q25,Dades_PA!$B$44:$Y$44,0))))*I25),IF(P25="Descomposición",((INDEX(Dades_PA!$B$45:$Y$71,(MATCH('2.2 Emisiones restos corta'!F25,Espècies,0)),(MATCH('2.2 Emisiones restos corta'!Q25,Dades_PA!$B$44:$Y$44,0))))*(Dades_PA!$B$39/100)*I25),IF(P25="Producto",0,"")))</f>
        <v/>
      </c>
      <c r="V25" s="110" t="str">
        <f t="shared" si="5"/>
        <v/>
      </c>
    </row>
    <row r="26" spans="5:22" ht="15.75" customHeight="1" x14ac:dyDescent="0.25">
      <c r="E26" s="315" t="str">
        <f>IF(('1. Datos generales del proyecto'!D32)="","",('1. Datos generales del proyecto'!D32))</f>
        <v/>
      </c>
      <c r="F26" s="84" t="str">
        <f>IF('2.1 Absorciones árboles'!E17=0,"",'2.1 Absorciones árboles'!E17)</f>
        <v/>
      </c>
      <c r="G26" s="170" t="str">
        <f>IFERROR(VLOOKUP(F26,Dades_PA!$A$6:$H$32,8,FALSE),"")</f>
        <v/>
      </c>
      <c r="H26" s="82" t="str">
        <f>IF(('2.1 Absorciones árboles'!H17&gt;0),('2.1 Absorciones árboles'!H17),"")</f>
        <v/>
      </c>
      <c r="I26" s="83"/>
      <c r="J26" s="170" t="str">
        <f t="shared" si="1"/>
        <v/>
      </c>
      <c r="K26" s="170" t="str">
        <f t="shared" si="2"/>
        <v>BST-</v>
      </c>
      <c r="L26" s="80"/>
      <c r="M26" s="93"/>
      <c r="N26" s="80"/>
      <c r="O26" s="93"/>
      <c r="P26" s="80"/>
      <c r="Q26" s="84" t="str">
        <f t="shared" si="3"/>
        <v>Bt-</v>
      </c>
      <c r="R26" s="84" t="str">
        <f>IF(J26="Vivas",0,IF(J26="Muertas",((INDEX(Dades_PA!$B$45:$Y$71,(MATCH('2.2 Emisiones restos corta'!F26,Espècies,0)),(MATCH('2.2 Emisiones restos corta'!K26,Dades_PA!$B$44:$Y$44,0))))*(Dades_PA!$B$39/100)*I26),""))</f>
        <v/>
      </c>
      <c r="S26" s="84" t="str">
        <f>IF(L26="Quema",((INDEX(Dades_PA!$B$45:$Y$71,(MATCH('2.2 Emisiones restos corta'!F26,Espècies,0)),(MATCH('2.2 Emisiones restos corta'!M26,Dades_PA!$B$44:$Y$44,0))))*I26),IF(L26="Descomposición",((INDEX(Dades_PA!$B$45:$Y$71,(MATCH('2.2 Emisiones restos corta'!F26,Espècies,0)),(MATCH('2.2 Emisiones restos corta'!M26,Dades_PA!$B$44:$Y$44,0))))*(Dades_PA!$B$39/100)*I26),IF(L26="Producto",0,"")))</f>
        <v/>
      </c>
      <c r="T26" s="84" t="str">
        <f>IF(N26="Quema",((INDEX(Dades_PA!$B$45:$Y$71,(MATCH('2.2 Emisiones restos corta'!F26,Espècies,0)),(MATCH('2.2 Emisiones restos corta'!O26,Dades_PA!$B$44:$Y$44,0))))*I26),IF(N26="Descomposición",((INDEX(Dades_PA!$B$45:$Y$71,(MATCH('2.2 Emisiones restos corta'!F26,Espècies,0)),(MATCH('2.2 Emisiones restos corta'!O26,Dades_PA!$B$44:$Y$44,0))))*(Dades_PA!$B$39/100)*I26),IF(N26="Producto",0,"")))</f>
        <v/>
      </c>
      <c r="U26" s="84" t="str">
        <f>IF(P26="Quema",((INDEX(Dades_PA!$B$45:$Y$71,(MATCH('2.2 Emisiones restos corta'!F26,Espècies,0)),(MATCH('2.2 Emisiones restos corta'!Q26,Dades_PA!$B$44:$Y$44,0))))*I26),IF(P26="Descomposición",((INDEX(Dades_PA!$B$45:$Y$71,(MATCH('2.2 Emisiones restos corta'!F26,Espècies,0)),(MATCH('2.2 Emisiones restos corta'!Q26,Dades_PA!$B$44:$Y$44,0))))*(Dades_PA!$B$39/100)*I26),IF(P26="Producto",0,"")))</f>
        <v/>
      </c>
      <c r="V26" s="108" t="str">
        <f t="shared" si="5"/>
        <v/>
      </c>
    </row>
    <row r="27" spans="5:22" ht="15.75" customHeight="1" x14ac:dyDescent="0.25">
      <c r="E27" s="316"/>
      <c r="F27" s="88" t="str">
        <f>IF('2.1 Absorciones árboles'!E18=0,"",'2.1 Absorciones árboles'!E18)</f>
        <v/>
      </c>
      <c r="G27" s="171" t="str">
        <f>IFERROR(VLOOKUP(F27,Dades_PA!$A$6:$H$32,8,FALSE),"")</f>
        <v/>
      </c>
      <c r="H27" s="86" t="str">
        <f>$H$26</f>
        <v/>
      </c>
      <c r="I27" s="87"/>
      <c r="J27" s="171" t="str">
        <f t="shared" si="1"/>
        <v/>
      </c>
      <c r="K27" s="171" t="str">
        <f t="shared" si="2"/>
        <v>BST-</v>
      </c>
      <c r="L27" s="95"/>
      <c r="M27" s="200"/>
      <c r="N27" s="95"/>
      <c r="O27" s="94"/>
      <c r="P27" s="95"/>
      <c r="Q27" s="88" t="str">
        <f t="shared" si="3"/>
        <v>Bt-</v>
      </c>
      <c r="R27" s="88" t="str">
        <f>IF(J27="Vivas",0,IF(J27="Muertas",((INDEX(Dades_PA!$B$45:$Y$71,(MATCH('2.2 Emisiones restos corta'!F27,Espècies,0)),(MATCH('2.2 Emisiones restos corta'!K27,Dades_PA!$B$44:$Y$44,0))))*(Dades_PA!$B$39/100)*I27),""))</f>
        <v/>
      </c>
      <c r="S27" s="88" t="str">
        <f>IF(L27="Quema",((INDEX(Dades_PA!$B$45:$Y$71,(MATCH('2.2 Emisiones restos corta'!F27,Espècies,0)),(MATCH('2.2 Emisiones restos corta'!M27,Dades_PA!$B$44:$Y$44,0))))*I27),IF(L27="Descomposición",((INDEX(Dades_PA!$B$45:$Y$71,(MATCH('2.2 Emisiones restos corta'!F27,Espècies,0)),(MATCH('2.2 Emisiones restos corta'!M27,Dades_PA!$B$44:$Y$44,0))))*(Dades_PA!$B$39/100)*I27),IF(L27="Producto",0,"")))</f>
        <v/>
      </c>
      <c r="T27" s="88" t="str">
        <f>IF(N27="Quema",((INDEX(Dades_PA!$B$45:$Y$71,(MATCH('2.2 Emisiones restos corta'!F27,Espècies,0)),(MATCH('2.2 Emisiones restos corta'!O27,Dades_PA!$B$44:$Y$44,0))))*I27),IF(N27="Descomposición",((INDEX(Dades_PA!$B$45:$Y$71,(MATCH('2.2 Emisiones restos corta'!F27,Espècies,0)),(MATCH('2.2 Emisiones restos corta'!O27,Dades_PA!$B$44:$Y$44,0))))*(Dades_PA!$B$39/100)*I27),IF(N27="Producto",0,"")))</f>
        <v/>
      </c>
      <c r="U27" s="88" t="str">
        <f>IF(P27="Quema",((INDEX(Dades_PA!$B$45:$Y$71,(MATCH('2.2 Emisiones restos corta'!F27,Espècies,0)),(MATCH('2.2 Emisiones restos corta'!Q27,Dades_PA!$B$44:$Y$44,0))))*I27),IF(P27="Descomposición",((INDEX(Dades_PA!$B$45:$Y$71,(MATCH('2.2 Emisiones restos corta'!F27,Espècies,0)),(MATCH('2.2 Emisiones restos corta'!Q27,Dades_PA!$B$44:$Y$44,0))))*(Dades_PA!$B$39/100)*I27),IF(P27="Producto",0,"")))</f>
        <v/>
      </c>
      <c r="V27" s="109" t="str">
        <f t="shared" si="5"/>
        <v/>
      </c>
    </row>
    <row r="28" spans="5:22" ht="15.75" customHeight="1" x14ac:dyDescent="0.25">
      <c r="E28" s="316"/>
      <c r="F28" s="88" t="str">
        <f>IF('2.1 Absorciones árboles'!E19=0,"",'2.1 Absorciones árboles'!E19)</f>
        <v/>
      </c>
      <c r="G28" s="171" t="str">
        <f>IFERROR(VLOOKUP(F28,Dades_PA!$A$6:$H$32,8,FALSE),"")</f>
        <v/>
      </c>
      <c r="H28" s="86" t="str">
        <f t="shared" ref="H28:H35" si="6">$H$26</f>
        <v/>
      </c>
      <c r="I28" s="87"/>
      <c r="J28" s="171" t="str">
        <f t="shared" si="1"/>
        <v/>
      </c>
      <c r="K28" s="171" t="str">
        <f t="shared" si="2"/>
        <v>BST-</v>
      </c>
      <c r="L28" s="95"/>
      <c r="M28" s="200"/>
      <c r="N28" s="95"/>
      <c r="O28" s="94"/>
      <c r="P28" s="95"/>
      <c r="Q28" s="88" t="str">
        <f t="shared" si="3"/>
        <v>Bt-</v>
      </c>
      <c r="R28" s="88" t="str">
        <f>IF(J28="Vivas",0,IF(J28="Muertas",((INDEX(Dades_PA!$B$45:$Y$71,(MATCH('2.2 Emisiones restos corta'!F28,Espècies,0)),(MATCH('2.2 Emisiones restos corta'!K28,Dades_PA!$B$44:$Y$44,0))))*(Dades_PA!$B$39/100)*I28),""))</f>
        <v/>
      </c>
      <c r="S28" s="88" t="str">
        <f>IF(L28="Quema",((INDEX(Dades_PA!$B$45:$Y$71,(MATCH('2.2 Emisiones restos corta'!F28,Espècies,0)),(MATCH('2.2 Emisiones restos corta'!M28,Dades_PA!$B$44:$Y$44,0))))*I28),IF(L28="Descomposición",((INDEX(Dades_PA!$B$45:$Y$71,(MATCH('2.2 Emisiones restos corta'!F28,Espècies,0)),(MATCH('2.2 Emisiones restos corta'!M28,Dades_PA!$B$44:$Y$44,0))))*(Dades_PA!$B$39/100)*I28),IF(L28="Producto",0,"")))</f>
        <v/>
      </c>
      <c r="T28" s="88" t="str">
        <f>IF(N28="Quema",((INDEX(Dades_PA!$B$45:$Y$71,(MATCH('2.2 Emisiones restos corta'!F28,Espècies,0)),(MATCH('2.2 Emisiones restos corta'!O28,Dades_PA!$B$44:$Y$44,0))))*I28),IF(N28="Descomposición",((INDEX(Dades_PA!$B$45:$Y$71,(MATCH('2.2 Emisiones restos corta'!F28,Espècies,0)),(MATCH('2.2 Emisiones restos corta'!O28,Dades_PA!$B$44:$Y$44,0))))*(Dades_PA!$B$39/100)*I28),IF(N28="Producto",0,"")))</f>
        <v/>
      </c>
      <c r="U28" s="88" t="str">
        <f>IF(P28="Quema",((INDEX(Dades_PA!$B$45:$Y$71,(MATCH('2.2 Emisiones restos corta'!F28,Espècies,0)),(MATCH('2.2 Emisiones restos corta'!Q28,Dades_PA!$B$44:$Y$44,0))))*I28),IF(P28="Descomposición",((INDEX(Dades_PA!$B$45:$Y$71,(MATCH('2.2 Emisiones restos corta'!F28,Espècies,0)),(MATCH('2.2 Emisiones restos corta'!Q28,Dades_PA!$B$44:$Y$44,0))))*(Dades_PA!$B$39/100)*I28),IF(P28="Producto",0,"")))</f>
        <v/>
      </c>
      <c r="V28" s="109" t="str">
        <f t="shared" si="5"/>
        <v/>
      </c>
    </row>
    <row r="29" spans="5:22" ht="15.75" customHeight="1" x14ac:dyDescent="0.25">
      <c r="E29" s="316"/>
      <c r="F29" s="88" t="str">
        <f>IF('2.1 Absorciones árboles'!E20=0,"",'2.1 Absorciones árboles'!E20)</f>
        <v/>
      </c>
      <c r="G29" s="171" t="str">
        <f>IFERROR(VLOOKUP(F29,Dades_PA!$A$6:$H$32,8,FALSE),"")</f>
        <v/>
      </c>
      <c r="H29" s="86" t="str">
        <f t="shared" si="6"/>
        <v/>
      </c>
      <c r="I29" s="87"/>
      <c r="J29" s="171" t="str">
        <f t="shared" si="1"/>
        <v/>
      </c>
      <c r="K29" s="171" t="str">
        <f t="shared" si="2"/>
        <v>BST-</v>
      </c>
      <c r="L29" s="95"/>
      <c r="M29" s="200"/>
      <c r="N29" s="95"/>
      <c r="O29" s="94"/>
      <c r="P29" s="95"/>
      <c r="Q29" s="88" t="str">
        <f t="shared" si="3"/>
        <v>Bt-</v>
      </c>
      <c r="R29" s="88" t="str">
        <f>IF(J29="Vivas",0,IF(J29="Muertas",((INDEX(Dades_PA!$B$45:$Y$71,(MATCH('2.2 Emisiones restos corta'!F29,Espècies,0)),(MATCH('2.2 Emisiones restos corta'!K29,Dades_PA!$B$44:$Y$44,0))))*(Dades_PA!$B$39/100)*I29),""))</f>
        <v/>
      </c>
      <c r="S29" s="88" t="str">
        <f>IF(L29="Quema",((INDEX(Dades_PA!$B$45:$Y$71,(MATCH('2.2 Emisiones restos corta'!F29,Espècies,0)),(MATCH('2.2 Emisiones restos corta'!M29,Dades_PA!$B$44:$Y$44,0))))*I29),IF(L29="Descomposición",((INDEX(Dades_PA!$B$45:$Y$71,(MATCH('2.2 Emisiones restos corta'!F29,Espècies,0)),(MATCH('2.2 Emisiones restos corta'!M29,Dades_PA!$B$44:$Y$44,0))))*(Dades_PA!$B$39/100)*I29),IF(L29="Producto",0,"")))</f>
        <v/>
      </c>
      <c r="T29" s="88" t="str">
        <f>IF(N29="Quema",((INDEX(Dades_PA!$B$45:$Y$71,(MATCH('2.2 Emisiones restos corta'!F29,Espècies,0)),(MATCH('2.2 Emisiones restos corta'!O29,Dades_PA!$B$44:$Y$44,0))))*I29),IF(N29="Descomposición",((INDEX(Dades_PA!$B$45:$Y$71,(MATCH('2.2 Emisiones restos corta'!F29,Espècies,0)),(MATCH('2.2 Emisiones restos corta'!O29,Dades_PA!$B$44:$Y$44,0))))*(Dades_PA!$B$39/100)*I29),IF(N29="Producto",0,"")))</f>
        <v/>
      </c>
      <c r="U29" s="88" t="str">
        <f>IF(P29="Quema",((INDEX(Dades_PA!$B$45:$Y$71,(MATCH('2.2 Emisiones restos corta'!F29,Espècies,0)),(MATCH('2.2 Emisiones restos corta'!Q29,Dades_PA!$B$44:$Y$44,0))))*I29),IF(P29="Descomposición",((INDEX(Dades_PA!$B$45:$Y$71,(MATCH('2.2 Emisiones restos corta'!F29,Espècies,0)),(MATCH('2.2 Emisiones restos corta'!Q29,Dades_PA!$B$44:$Y$44,0))))*(Dades_PA!$B$39/100)*I29),IF(P29="Producto",0,"")))</f>
        <v/>
      </c>
      <c r="V29" s="109" t="str">
        <f t="shared" si="5"/>
        <v/>
      </c>
    </row>
    <row r="30" spans="5:22" ht="15.75" customHeight="1" x14ac:dyDescent="0.25">
      <c r="E30" s="316"/>
      <c r="F30" s="88" t="str">
        <f>IF('2.1 Absorciones árboles'!E21=0,"",'2.1 Absorciones árboles'!E21)</f>
        <v/>
      </c>
      <c r="G30" s="171" t="str">
        <f>IFERROR(VLOOKUP(F30,Dades_PA!$A$6:$H$32,8,FALSE),"")</f>
        <v/>
      </c>
      <c r="H30" s="86" t="str">
        <f t="shared" si="6"/>
        <v/>
      </c>
      <c r="I30" s="87"/>
      <c r="J30" s="171" t="str">
        <f t="shared" si="1"/>
        <v/>
      </c>
      <c r="K30" s="171" t="str">
        <f t="shared" si="2"/>
        <v>BST-</v>
      </c>
      <c r="L30" s="95"/>
      <c r="M30" s="200"/>
      <c r="N30" s="95"/>
      <c r="O30" s="94"/>
      <c r="P30" s="95"/>
      <c r="Q30" s="88" t="str">
        <f t="shared" si="3"/>
        <v>Bt-</v>
      </c>
      <c r="R30" s="88" t="str">
        <f>IF(J30="Vivas",0,IF(J30="Muertas",((INDEX(Dades_PA!$B$45:$Y$71,(MATCH('2.2 Emisiones restos corta'!F30,Espècies,0)),(MATCH('2.2 Emisiones restos corta'!K30,Dades_PA!$B$44:$Y$44,0))))*(Dades_PA!$B$39/100)*I30),""))</f>
        <v/>
      </c>
      <c r="S30" s="88" t="str">
        <f>IF(L30="Quema",((INDEX(Dades_PA!$B$45:$Y$71,(MATCH('2.2 Emisiones restos corta'!F30,Espècies,0)),(MATCH('2.2 Emisiones restos corta'!M30,Dades_PA!$B$44:$Y$44,0))))*I30),IF(L30="Descomposición",((INDEX(Dades_PA!$B$45:$Y$71,(MATCH('2.2 Emisiones restos corta'!F30,Espècies,0)),(MATCH('2.2 Emisiones restos corta'!M30,Dades_PA!$B$44:$Y$44,0))))*(Dades_PA!$B$39/100)*I30),IF(L30="Producto",0,"")))</f>
        <v/>
      </c>
      <c r="T30" s="88" t="str">
        <f>IF(N30="Quema",((INDEX(Dades_PA!$B$45:$Y$71,(MATCH('2.2 Emisiones restos corta'!F30,Espècies,0)),(MATCH('2.2 Emisiones restos corta'!O30,Dades_PA!$B$44:$Y$44,0))))*I30),IF(N30="Descomposición",((INDEX(Dades_PA!$B$45:$Y$71,(MATCH('2.2 Emisiones restos corta'!F30,Espècies,0)),(MATCH('2.2 Emisiones restos corta'!O30,Dades_PA!$B$44:$Y$44,0))))*(Dades_PA!$B$39/100)*I30),IF(N30="Producto",0,"")))</f>
        <v/>
      </c>
      <c r="U30" s="88" t="str">
        <f>IF(P30="Quema",((INDEX(Dades_PA!$B$45:$Y$71,(MATCH('2.2 Emisiones restos corta'!F30,Espècies,0)),(MATCH('2.2 Emisiones restos corta'!Q30,Dades_PA!$B$44:$Y$44,0))))*I30),IF(P30="Descomposición",((INDEX(Dades_PA!$B$45:$Y$71,(MATCH('2.2 Emisiones restos corta'!F30,Espècies,0)),(MATCH('2.2 Emisiones restos corta'!Q30,Dades_PA!$B$44:$Y$44,0))))*(Dades_PA!$B$39/100)*I30),IF(P30="Producto",0,"")))</f>
        <v/>
      </c>
      <c r="V30" s="109" t="str">
        <f t="shared" si="5"/>
        <v/>
      </c>
    </row>
    <row r="31" spans="5:22" ht="15.75" customHeight="1" x14ac:dyDescent="0.25">
      <c r="E31" s="316"/>
      <c r="F31" s="88" t="str">
        <f>IF('2.1 Absorciones árboles'!E22=0,"",'2.1 Absorciones árboles'!E22)</f>
        <v/>
      </c>
      <c r="G31" s="171" t="str">
        <f>IFERROR(VLOOKUP(F31,Dades_PA!$A$6:$H$32,8,FALSE),"")</f>
        <v/>
      </c>
      <c r="H31" s="86" t="str">
        <f t="shared" si="6"/>
        <v/>
      </c>
      <c r="I31" s="87"/>
      <c r="J31" s="171" t="str">
        <f t="shared" si="1"/>
        <v/>
      </c>
      <c r="K31" s="171" t="str">
        <f t="shared" si="2"/>
        <v>BST-</v>
      </c>
      <c r="L31" s="95"/>
      <c r="M31" s="200"/>
      <c r="N31" s="95"/>
      <c r="O31" s="94"/>
      <c r="P31" s="95"/>
      <c r="Q31" s="88" t="str">
        <f t="shared" si="3"/>
        <v>Bt-</v>
      </c>
      <c r="R31" s="88" t="str">
        <f>IF(J31="Vivas",0,IF(J31="Muertas",((INDEX(Dades_PA!$B$45:$Y$71,(MATCH('2.2 Emisiones restos corta'!F31,Espècies,0)),(MATCH('2.2 Emisiones restos corta'!K31,Dades_PA!$B$44:$Y$44,0))))*(Dades_PA!$B$39/100)*I31),""))</f>
        <v/>
      </c>
      <c r="S31" s="88" t="str">
        <f>IF(L31="Quema",((INDEX(Dades_PA!$B$45:$Y$71,(MATCH('2.2 Emisiones restos corta'!F31,Espècies,0)),(MATCH('2.2 Emisiones restos corta'!M31,Dades_PA!$B$44:$Y$44,0))))*I31),IF(L31="Descomposición",((INDEX(Dades_PA!$B$45:$Y$71,(MATCH('2.2 Emisiones restos corta'!F31,Espècies,0)),(MATCH('2.2 Emisiones restos corta'!M31,Dades_PA!$B$44:$Y$44,0))))*(Dades_PA!$B$39/100)*I31),IF(L31="Producto",0,"")))</f>
        <v/>
      </c>
      <c r="T31" s="88" t="str">
        <f>IF(N31="Quema",((INDEX(Dades_PA!$B$45:$Y$71,(MATCH('2.2 Emisiones restos corta'!F31,Espècies,0)),(MATCH('2.2 Emisiones restos corta'!O31,Dades_PA!$B$44:$Y$44,0))))*I31),IF(N31="Descomposición",((INDEX(Dades_PA!$B$45:$Y$71,(MATCH('2.2 Emisiones restos corta'!F31,Espècies,0)),(MATCH('2.2 Emisiones restos corta'!O31,Dades_PA!$B$44:$Y$44,0))))*(Dades_PA!$B$39/100)*I31),IF(N31="Producto",0,"")))</f>
        <v/>
      </c>
      <c r="U31" s="88" t="str">
        <f>IF(P31="Quema",((INDEX(Dades_PA!$B$45:$Y$71,(MATCH('2.2 Emisiones restos corta'!F31,Espècies,0)),(MATCH('2.2 Emisiones restos corta'!Q31,Dades_PA!$B$44:$Y$44,0))))*I31),IF(P31="Descomposición",((INDEX(Dades_PA!$B$45:$Y$71,(MATCH('2.2 Emisiones restos corta'!F31,Espècies,0)),(MATCH('2.2 Emisiones restos corta'!Q31,Dades_PA!$B$44:$Y$44,0))))*(Dades_PA!$B$39/100)*I31),IF(P31="Producto",0,"")))</f>
        <v/>
      </c>
      <c r="V31" s="109" t="str">
        <f t="shared" si="5"/>
        <v/>
      </c>
    </row>
    <row r="32" spans="5:22" ht="15.75" customHeight="1" x14ac:dyDescent="0.25">
      <c r="E32" s="316"/>
      <c r="F32" s="88" t="str">
        <f>IF('2.1 Absorciones árboles'!E23=0,"",'2.1 Absorciones árboles'!E23)</f>
        <v/>
      </c>
      <c r="G32" s="171" t="str">
        <f>IFERROR(VLOOKUP(F32,Dades_PA!$A$6:$H$32,8,FALSE),"")</f>
        <v/>
      </c>
      <c r="H32" s="86" t="str">
        <f t="shared" si="6"/>
        <v/>
      </c>
      <c r="I32" s="87"/>
      <c r="J32" s="171" t="str">
        <f t="shared" si="1"/>
        <v/>
      </c>
      <c r="K32" s="171" t="str">
        <f t="shared" si="2"/>
        <v>BST-</v>
      </c>
      <c r="L32" s="95"/>
      <c r="M32" s="200"/>
      <c r="N32" s="95"/>
      <c r="O32" s="94"/>
      <c r="P32" s="95"/>
      <c r="Q32" s="88" t="str">
        <f t="shared" si="3"/>
        <v>Bt-</v>
      </c>
      <c r="R32" s="88" t="str">
        <f>IF(J32="Vivas",0,IF(J32="Muertas",((INDEX(Dades_PA!$B$45:$Y$71,(MATCH('2.2 Emisiones restos corta'!F32,Espècies,0)),(MATCH('2.2 Emisiones restos corta'!K32,Dades_PA!$B$44:$Y$44,0))))*(Dades_PA!$B$39/100)*I32),""))</f>
        <v/>
      </c>
      <c r="S32" s="88" t="str">
        <f>IF(L32="Quema",((INDEX(Dades_PA!$B$45:$Y$71,(MATCH('2.2 Emisiones restos corta'!F32,Espècies,0)),(MATCH('2.2 Emisiones restos corta'!M32,Dades_PA!$B$44:$Y$44,0))))*I32),IF(L32="Descomposición",((INDEX(Dades_PA!$B$45:$Y$71,(MATCH('2.2 Emisiones restos corta'!F32,Espècies,0)),(MATCH('2.2 Emisiones restos corta'!M32,Dades_PA!$B$44:$Y$44,0))))*(Dades_PA!$B$39/100)*I32),IF(L32="Producto",0,"")))</f>
        <v/>
      </c>
      <c r="T32" s="88" t="str">
        <f>IF(N32="Quema",((INDEX(Dades_PA!$B$45:$Y$71,(MATCH('2.2 Emisiones restos corta'!F32,Espècies,0)),(MATCH('2.2 Emisiones restos corta'!O32,Dades_PA!$B$44:$Y$44,0))))*I32),IF(N32="Descomposición",((INDEX(Dades_PA!$B$45:$Y$71,(MATCH('2.2 Emisiones restos corta'!F32,Espècies,0)),(MATCH('2.2 Emisiones restos corta'!O32,Dades_PA!$B$44:$Y$44,0))))*(Dades_PA!$B$39/100)*I32),IF(N32="Producto",0,"")))</f>
        <v/>
      </c>
      <c r="U32" s="88" t="str">
        <f>IF(P32="Quema",((INDEX(Dades_PA!$B$45:$Y$71,(MATCH('2.2 Emisiones restos corta'!F32,Espècies,0)),(MATCH('2.2 Emisiones restos corta'!Q32,Dades_PA!$B$44:$Y$44,0))))*I32),IF(P32="Descomposición",((INDEX(Dades_PA!$B$45:$Y$71,(MATCH('2.2 Emisiones restos corta'!F32,Espècies,0)),(MATCH('2.2 Emisiones restos corta'!Q32,Dades_PA!$B$44:$Y$44,0))))*(Dades_PA!$B$39/100)*I32),IF(P32="Producto",0,"")))</f>
        <v/>
      </c>
      <c r="V32" s="109" t="str">
        <f t="shared" si="5"/>
        <v/>
      </c>
    </row>
    <row r="33" spans="2:25" ht="15.75" customHeight="1" x14ac:dyDescent="0.25">
      <c r="E33" s="316"/>
      <c r="F33" s="88" t="str">
        <f>IF('2.1 Absorciones árboles'!E24=0,"",'2.1 Absorciones árboles'!E24)</f>
        <v/>
      </c>
      <c r="G33" s="171" t="str">
        <f>IFERROR(VLOOKUP(F33,Dades_PA!$A$6:$H$32,8,FALSE),"")</f>
        <v/>
      </c>
      <c r="H33" s="86" t="str">
        <f t="shared" si="6"/>
        <v/>
      </c>
      <c r="I33" s="87"/>
      <c r="J33" s="171" t="str">
        <f t="shared" si="1"/>
        <v/>
      </c>
      <c r="K33" s="171" t="str">
        <f t="shared" si="2"/>
        <v>BST-</v>
      </c>
      <c r="L33" s="95"/>
      <c r="M33" s="200"/>
      <c r="N33" s="95"/>
      <c r="O33" s="94"/>
      <c r="P33" s="95"/>
      <c r="Q33" s="88" t="str">
        <f t="shared" si="3"/>
        <v>Bt-</v>
      </c>
      <c r="R33" s="88" t="str">
        <f>IF(J33="Vivas",0,IF(J33="Muertas",((INDEX(Dades_PA!$B$45:$Y$71,(MATCH('2.2 Emisiones restos corta'!F33,Espècies,0)),(MATCH('2.2 Emisiones restos corta'!K33,Dades_PA!$B$44:$Y$44,0))))*(Dades_PA!$B$39/100)*I33),""))</f>
        <v/>
      </c>
      <c r="S33" s="88" t="str">
        <f>IF(L33="Quema",((INDEX(Dades_PA!$B$45:$Y$71,(MATCH('2.2 Emisiones restos corta'!F33,Espècies,0)),(MATCH('2.2 Emisiones restos corta'!M33,Dades_PA!$B$44:$Y$44,0))))*I33),IF(L33="Descomposición",((INDEX(Dades_PA!$B$45:$Y$71,(MATCH('2.2 Emisiones restos corta'!F33,Espècies,0)),(MATCH('2.2 Emisiones restos corta'!M33,Dades_PA!$B$44:$Y$44,0))))*(Dades_PA!$B$39/100)*I33),IF(L33="Producto",0,"")))</f>
        <v/>
      </c>
      <c r="T33" s="88" t="str">
        <f>IF(N33="Quema",((INDEX(Dades_PA!$B$45:$Y$71,(MATCH('2.2 Emisiones restos corta'!F33,Espècies,0)),(MATCH('2.2 Emisiones restos corta'!O33,Dades_PA!$B$44:$Y$44,0))))*I33),IF(N33="Descomposición",((INDEX(Dades_PA!$B$45:$Y$71,(MATCH('2.2 Emisiones restos corta'!F33,Espècies,0)),(MATCH('2.2 Emisiones restos corta'!O33,Dades_PA!$B$44:$Y$44,0))))*(Dades_PA!$B$39/100)*I33),IF(N33="Producto",0,"")))</f>
        <v/>
      </c>
      <c r="U33" s="88" t="str">
        <f>IF(P33="Quema",((INDEX(Dades_PA!$B$45:$Y$71,(MATCH('2.2 Emisiones restos corta'!F33,Espècies,0)),(MATCH('2.2 Emisiones restos corta'!Q33,Dades_PA!$B$44:$Y$44,0))))*I33),IF(P33="Descomposición",((INDEX(Dades_PA!$B$45:$Y$71,(MATCH('2.2 Emisiones restos corta'!F33,Espècies,0)),(MATCH('2.2 Emisiones restos corta'!Q33,Dades_PA!$B$44:$Y$44,0))))*(Dades_PA!$B$39/100)*I33),IF(P33="Producto",0,"")))</f>
        <v/>
      </c>
      <c r="V33" s="109" t="str">
        <f t="shared" si="5"/>
        <v/>
      </c>
    </row>
    <row r="34" spans="2:25" ht="15.75" customHeight="1" x14ac:dyDescent="0.25">
      <c r="E34" s="316"/>
      <c r="F34" s="88" t="str">
        <f>IF('2.1 Absorciones árboles'!E25=0,"",'2.1 Absorciones árboles'!E25)</f>
        <v/>
      </c>
      <c r="G34" s="171" t="str">
        <f>IFERROR(VLOOKUP(F34,Dades_PA!$A$6:$H$32,8,FALSE),"")</f>
        <v/>
      </c>
      <c r="H34" s="86" t="str">
        <f t="shared" si="6"/>
        <v/>
      </c>
      <c r="I34" s="87"/>
      <c r="J34" s="171" t="str">
        <f t="shared" si="1"/>
        <v/>
      </c>
      <c r="K34" s="171" t="str">
        <f t="shared" si="2"/>
        <v>BST-</v>
      </c>
      <c r="L34" s="95"/>
      <c r="M34" s="200"/>
      <c r="N34" s="95"/>
      <c r="O34" s="94"/>
      <c r="P34" s="95"/>
      <c r="Q34" s="88" t="str">
        <f t="shared" si="3"/>
        <v>Bt-</v>
      </c>
      <c r="R34" s="88" t="str">
        <f>IF(J34="Vivas",0,IF(J34="Muertas",((INDEX(Dades_PA!$B$45:$Y$71,(MATCH('2.2 Emisiones restos corta'!F34,Espècies,0)),(MATCH('2.2 Emisiones restos corta'!K34,Dades_PA!$B$44:$Y$44,0))))*(Dades_PA!$B$39/100)*I34),""))</f>
        <v/>
      </c>
      <c r="S34" s="88" t="str">
        <f>IF(L34="Quema",((INDEX(Dades_PA!$B$45:$Y$71,(MATCH('2.2 Emisiones restos corta'!F34,Espècies,0)),(MATCH('2.2 Emisiones restos corta'!M34,Dades_PA!$B$44:$Y$44,0))))*I34),IF(L34="Descomposición",((INDEX(Dades_PA!$B$45:$Y$71,(MATCH('2.2 Emisiones restos corta'!F34,Espècies,0)),(MATCH('2.2 Emisiones restos corta'!M34,Dades_PA!$B$44:$Y$44,0))))*(Dades_PA!$B$39/100)*I34),IF(L34="Producto",0,"")))</f>
        <v/>
      </c>
      <c r="T34" s="88" t="str">
        <f>IF(N34="Quema",((INDEX(Dades_PA!$B$45:$Y$71,(MATCH('2.2 Emisiones restos corta'!F34,Espècies,0)),(MATCH('2.2 Emisiones restos corta'!O34,Dades_PA!$B$44:$Y$44,0))))*I34),IF(N34="Descomposición",((INDEX(Dades_PA!$B$45:$Y$71,(MATCH('2.2 Emisiones restos corta'!F34,Espècies,0)),(MATCH('2.2 Emisiones restos corta'!O34,Dades_PA!$B$44:$Y$44,0))))*(Dades_PA!$B$39/100)*I34),IF(N34="Producto",0,"")))</f>
        <v/>
      </c>
      <c r="U34" s="88" t="str">
        <f>IF(P34="Quema",((INDEX(Dades_PA!$B$45:$Y$71,(MATCH('2.2 Emisiones restos corta'!F34,Espècies,0)),(MATCH('2.2 Emisiones restos corta'!Q34,Dades_PA!$B$44:$Y$44,0))))*I34),IF(P34="Descomposición",((INDEX(Dades_PA!$B$45:$Y$71,(MATCH('2.2 Emisiones restos corta'!F34,Espècies,0)),(MATCH('2.2 Emisiones restos corta'!Q34,Dades_PA!$B$44:$Y$44,0))))*(Dades_PA!$B$39/100)*I34),IF(P34="Producto",0,"")))</f>
        <v/>
      </c>
      <c r="V34" s="109" t="str">
        <f t="shared" si="5"/>
        <v/>
      </c>
    </row>
    <row r="35" spans="2:25" ht="15.75" customHeight="1" thickBot="1" x14ac:dyDescent="0.3">
      <c r="E35" s="317"/>
      <c r="F35" s="92" t="str">
        <f>IF('2.1 Absorciones árboles'!E26=0,"",'2.1 Absorciones árboles'!E26)</f>
        <v/>
      </c>
      <c r="G35" s="172" t="str">
        <f>IFERROR(VLOOKUP(F35,Dades_PA!$A$6:$H$32,8,FALSE),"")</f>
        <v/>
      </c>
      <c r="H35" s="90" t="str">
        <f t="shared" si="6"/>
        <v/>
      </c>
      <c r="I35" s="91"/>
      <c r="J35" s="172" t="str">
        <f t="shared" si="1"/>
        <v/>
      </c>
      <c r="K35" s="172" t="str">
        <f t="shared" si="2"/>
        <v>BST-</v>
      </c>
      <c r="L35" s="97"/>
      <c r="M35" s="207"/>
      <c r="N35" s="97"/>
      <c r="O35" s="96"/>
      <c r="P35" s="97"/>
      <c r="Q35" s="92" t="str">
        <f t="shared" si="3"/>
        <v>Bt-</v>
      </c>
      <c r="R35" s="92" t="str">
        <f>IF(J35="Vivas",0,IF(J35="Muertas",((INDEX(Dades_PA!$B$45:$Y$71,(MATCH('2.2 Emisiones restos corta'!F35,Espècies,0)),(MATCH('2.2 Emisiones restos corta'!K35,Dades_PA!$B$44:$Y$44,0))))*(Dades_PA!$B$39/100)*I35),""))</f>
        <v/>
      </c>
      <c r="S35" s="92" t="str">
        <f>IF(L35="Quema",((INDEX(Dades_PA!$B$45:$Y$71,(MATCH('2.2 Emisiones restos corta'!F35,Espècies,0)),(MATCH('2.2 Emisiones restos corta'!M35,Dades_PA!$B$44:$Y$44,0))))*I35),IF(L35="Descomposición",((INDEX(Dades_PA!$B$45:$Y$71,(MATCH('2.2 Emisiones restos corta'!F35,Espècies,0)),(MATCH('2.2 Emisiones restos corta'!M35,Dades_PA!$B$44:$Y$44,0))))*(Dades_PA!$B$39/100)*I35),IF(L35="Producto",0,"")))</f>
        <v/>
      </c>
      <c r="T35" s="92" t="str">
        <f>IF(N35="Quema",((INDEX(Dades_PA!$B$45:$Y$71,(MATCH('2.2 Emisiones restos corta'!F35,Espècies,0)),(MATCH('2.2 Emisiones restos corta'!O35,Dades_PA!$B$44:$Y$44,0))))*I35),IF(N35="Descomposición",((INDEX(Dades_PA!$B$45:$Y$71,(MATCH('2.2 Emisiones restos corta'!F35,Espècies,0)),(MATCH('2.2 Emisiones restos corta'!O35,Dades_PA!$B$44:$Y$44,0))))*(Dades_PA!$B$39/100)*I35),IF(N35="Producto",0,"")))</f>
        <v/>
      </c>
      <c r="U35" s="92" t="str">
        <f>IF(P35="Quema",((INDEX(Dades_PA!$B$45:$Y$71,(MATCH('2.2 Emisiones restos corta'!F35,Espècies,0)),(MATCH('2.2 Emisiones restos corta'!Q35,Dades_PA!$B$44:$Y$44,0))))*I35),IF(P35="Descomposición",((INDEX(Dades_PA!$B$45:$Y$71,(MATCH('2.2 Emisiones restos corta'!F35,Espècies,0)),(MATCH('2.2 Emisiones restos corta'!Q35,Dades_PA!$B$44:$Y$44,0))))*(Dades_PA!$B$39/100)*I35),IF(P35="Producto",0,"")))</f>
        <v/>
      </c>
      <c r="V35" s="110" t="str">
        <f t="shared" si="5"/>
        <v/>
      </c>
    </row>
    <row r="36" spans="2:25" ht="15.75" customHeight="1" x14ac:dyDescent="0.25">
      <c r="E36" s="383" t="str">
        <f>IF(('1. Datos generales del proyecto'!D33)="","",('1. Datos generales del proyecto'!D33))</f>
        <v/>
      </c>
      <c r="F36" s="384" t="str">
        <f>IF('2.1 Absorciones árboles'!E27=0,"",'2.1 Absorciones árboles'!E27)</f>
        <v/>
      </c>
      <c r="G36" s="176" t="str">
        <f>IFERROR(VLOOKUP(F36,Dades_PA!$A$6:$H$32,8,FALSE),"")</f>
        <v/>
      </c>
      <c r="H36" s="385" t="str">
        <f>IF(('2.1 Absorciones árboles'!H27&gt;0),('2.1 Absorciones árboles'!H27),"")</f>
        <v/>
      </c>
      <c r="I36" s="386"/>
      <c r="J36" s="176" t="str">
        <f t="shared" si="1"/>
        <v/>
      </c>
      <c r="K36" s="176" t="str">
        <f t="shared" si="2"/>
        <v>BST-</v>
      </c>
      <c r="L36" s="387"/>
      <c r="M36" s="200"/>
      <c r="N36" s="387"/>
      <c r="O36" s="200"/>
      <c r="P36" s="387"/>
      <c r="Q36" s="384" t="str">
        <f t="shared" si="3"/>
        <v>Bt-</v>
      </c>
      <c r="R36" s="384" t="str">
        <f>IF(J36="Vivas",0,IF(J36="Muertas",((INDEX(Dades_PA!$B$45:$Y$71,(MATCH('2.2 Emisiones restos corta'!F36,Espècies,0)),(MATCH('2.2 Emisiones restos corta'!K36,Dades_PA!$B$44:$Y$44,0))))*(Dades_PA!$B$39/100)*I36),""))</f>
        <v/>
      </c>
      <c r="S36" s="384" t="str">
        <f>IF(L36="Quema",((INDEX(Dades_PA!$B$45:$Y$71,(MATCH('2.2 Emisiones restos corta'!F36,Espècies,0)),(MATCH('2.2 Emisiones restos corta'!M36,Dades_PA!$B$44:$Y$44,0))))*I36),IF(L36="Descomposición",((INDEX(Dades_PA!$B$45:$Y$71,(MATCH('2.2 Emisiones restos corta'!F36,Espècies,0)),(MATCH('2.2 Emisiones restos corta'!M36,Dades_PA!$B$44:$Y$44,0))))*(Dades_PA!$B$39/100)*I36),IF(L36="Producto",0,"")))</f>
        <v/>
      </c>
      <c r="T36" s="384" t="str">
        <f>IF(N36="Quema",((INDEX(Dades_PA!$B$45:$Y$71,(MATCH('2.2 Emisiones restos corta'!F36,Espècies,0)),(MATCH('2.2 Emisiones restos corta'!O36,Dades_PA!$B$44:$Y$44,0))))*I36),IF(N36="Descomposición",((INDEX(Dades_PA!$B$45:$Y$71,(MATCH('2.2 Emisiones restos corta'!F36,Espècies,0)),(MATCH('2.2 Emisiones restos corta'!O36,Dades_PA!$B$44:$Y$44,0))))*(Dades_PA!$B$39/100)*I36),IF(N36="Producto",0,"")))</f>
        <v/>
      </c>
      <c r="U36" s="384" t="str">
        <f>IF(P36="Quema",((INDEX(Dades_PA!$B$45:$Y$71,(MATCH('2.2 Emisiones restos corta'!F36,Espècies,0)),(MATCH('2.2 Emisiones restos corta'!Q36,Dades_PA!$B$44:$Y$44,0))))*I36),IF(P36="Descomposición",((INDEX(Dades_PA!$B$45:$Y$71,(MATCH('2.2 Emisiones restos corta'!F36,Espècies,0)),(MATCH('2.2 Emisiones restos corta'!Q36,Dades_PA!$B$44:$Y$44,0))))*(Dades_PA!$B$39/100)*I36),IF(P36="Producto",0,"")))</f>
        <v/>
      </c>
      <c r="V36" s="384" t="str">
        <f t="shared" si="5"/>
        <v/>
      </c>
    </row>
    <row r="37" spans="2:25" ht="15" customHeight="1" x14ac:dyDescent="0.25">
      <c r="E37" s="316"/>
      <c r="F37" s="88" t="str">
        <f>IF('2.1 Absorciones árboles'!E28=0,"",'2.1 Absorciones árboles'!E28)</f>
        <v/>
      </c>
      <c r="G37" s="171" t="str">
        <f>IFERROR(VLOOKUP(F37,Dades_PA!$A$6:$H$32,8,FALSE),"")</f>
        <v/>
      </c>
      <c r="H37" s="86" t="str">
        <f>$H$36</f>
        <v/>
      </c>
      <c r="I37" s="87"/>
      <c r="J37" s="171" t="str">
        <f t="shared" si="1"/>
        <v/>
      </c>
      <c r="K37" s="171" t="str">
        <f t="shared" si="2"/>
        <v>BST-</v>
      </c>
      <c r="L37" s="95"/>
      <c r="M37" s="200"/>
      <c r="N37" s="95"/>
      <c r="O37" s="94"/>
      <c r="P37" s="95"/>
      <c r="Q37" s="88" t="str">
        <f t="shared" si="3"/>
        <v>Bt-</v>
      </c>
      <c r="R37" s="88" t="str">
        <f>IF(J37="Vivas",0,IF(J37="Muertas",((INDEX(Dades_PA!$B$45:$Y$71,(MATCH('2.2 Emisiones restos corta'!F37,Espècies,0)),(MATCH('2.2 Emisiones restos corta'!K37,Dades_PA!$B$44:$Y$44,0))))*(Dades_PA!$B$39/100)*I37),""))</f>
        <v/>
      </c>
      <c r="S37" s="88" t="str">
        <f>IF(L37="Quema",((INDEX(Dades_PA!$B$45:$Y$71,(MATCH('2.2 Emisiones restos corta'!F37,Espècies,0)),(MATCH('2.2 Emisiones restos corta'!M37,Dades_PA!$B$44:$Y$44,0))))*I37),IF(L37="Descomposición",((INDEX(Dades_PA!$B$45:$Y$71,(MATCH('2.2 Emisiones restos corta'!F37,Espècies,0)),(MATCH('2.2 Emisiones restos corta'!M37,Dades_PA!$B$44:$Y$44,0))))*(Dades_PA!$B$39/100)*I37),IF(L37="Producto",0,"")))</f>
        <v/>
      </c>
      <c r="T37" s="88" t="str">
        <f>IF(N37="Quema",((INDEX(Dades_PA!$B$45:$Y$71,(MATCH('2.2 Emisiones restos corta'!F37,Espècies,0)),(MATCH('2.2 Emisiones restos corta'!O37,Dades_PA!$B$44:$Y$44,0))))*I37),IF(N37="Descomposición",((INDEX(Dades_PA!$B$45:$Y$71,(MATCH('2.2 Emisiones restos corta'!F37,Espècies,0)),(MATCH('2.2 Emisiones restos corta'!O37,Dades_PA!$B$44:$Y$44,0))))*(Dades_PA!$B$39/100)*I37),IF(N37="Producto",0,"")))</f>
        <v/>
      </c>
      <c r="U37" s="88" t="str">
        <f>IF(P37="Quema",((INDEX(Dades_PA!$B$45:$Y$71,(MATCH('2.2 Emisiones restos corta'!F37,Espècies,0)),(MATCH('2.2 Emisiones restos corta'!Q37,Dades_PA!$B$44:$Y$44,0))))*I37),IF(P37="Descomposición",((INDEX(Dades_PA!$B$45:$Y$71,(MATCH('2.2 Emisiones restos corta'!F37,Espècies,0)),(MATCH('2.2 Emisiones restos corta'!Q37,Dades_PA!$B$44:$Y$44,0))))*(Dades_PA!$B$39/100)*I37),IF(P37="Producto",0,"")))</f>
        <v/>
      </c>
      <c r="V37" s="88" t="str">
        <f t="shared" si="5"/>
        <v/>
      </c>
    </row>
    <row r="38" spans="2:25" ht="18" customHeight="1" x14ac:dyDescent="0.25">
      <c r="E38" s="316"/>
      <c r="F38" s="88" t="str">
        <f>IF('2.1 Absorciones árboles'!E29=0,"",'2.1 Absorciones árboles'!E29)</f>
        <v/>
      </c>
      <c r="G38" s="171" t="str">
        <f>IFERROR(VLOOKUP(F38,Dades_PA!$A$6:$H$32,8,FALSE),"")</f>
        <v/>
      </c>
      <c r="H38" s="86" t="str">
        <f t="shared" ref="H38:H44" si="7">$H$36</f>
        <v/>
      </c>
      <c r="I38" s="87"/>
      <c r="J38" s="171" t="str">
        <f t="shared" si="1"/>
        <v/>
      </c>
      <c r="K38" s="171" t="str">
        <f t="shared" si="2"/>
        <v>BST-</v>
      </c>
      <c r="L38" s="95"/>
      <c r="M38" s="200"/>
      <c r="N38" s="95"/>
      <c r="O38" s="94"/>
      <c r="P38" s="95"/>
      <c r="Q38" s="88" t="str">
        <f t="shared" si="3"/>
        <v>Bt-</v>
      </c>
      <c r="R38" s="88" t="str">
        <f>IF(J38="Vivas",0,IF(J38="Muertas",((INDEX(Dades_PA!$B$45:$Y$71,(MATCH('2.2 Emisiones restos corta'!F38,Espècies,0)),(MATCH('2.2 Emisiones restos corta'!K38,Dades_PA!$B$44:$Y$44,0))))*(Dades_PA!$B$39/100)*I38),""))</f>
        <v/>
      </c>
      <c r="S38" s="88" t="str">
        <f>IF(L38="Quema",((INDEX(Dades_PA!$B$45:$Y$71,(MATCH('2.2 Emisiones restos corta'!F38,Espècies,0)),(MATCH('2.2 Emisiones restos corta'!M38,Dades_PA!$B$44:$Y$44,0))))*I38),IF(L38="Descomposición",((INDEX(Dades_PA!$B$45:$Y$71,(MATCH('2.2 Emisiones restos corta'!F38,Espècies,0)),(MATCH('2.2 Emisiones restos corta'!M38,Dades_PA!$B$44:$Y$44,0))))*(Dades_PA!$B$39/100)*I38),IF(L38="Producto",0,"")))</f>
        <v/>
      </c>
      <c r="T38" s="88" t="str">
        <f>IF(N38="Quema",((INDEX(Dades_PA!$B$45:$Y$71,(MATCH('2.2 Emisiones restos corta'!F38,Espècies,0)),(MATCH('2.2 Emisiones restos corta'!O38,Dades_PA!$B$44:$Y$44,0))))*I38),IF(N38="Descomposición",((INDEX(Dades_PA!$B$45:$Y$71,(MATCH('2.2 Emisiones restos corta'!F38,Espècies,0)),(MATCH('2.2 Emisiones restos corta'!O38,Dades_PA!$B$44:$Y$44,0))))*(Dades_PA!$B$39/100)*I38),IF(N38="Producto",0,"")))</f>
        <v/>
      </c>
      <c r="U38" s="88" t="str">
        <f>IF(P38="Quema",((INDEX(Dades_PA!$B$45:$Y$71,(MATCH('2.2 Emisiones restos corta'!F38,Espècies,0)),(MATCH('2.2 Emisiones restos corta'!Q38,Dades_PA!$B$44:$Y$44,0))))*I38),IF(P38="Descomposición",((INDEX(Dades_PA!$B$45:$Y$71,(MATCH('2.2 Emisiones restos corta'!F38,Espècies,0)),(MATCH('2.2 Emisiones restos corta'!Q38,Dades_PA!$B$44:$Y$44,0))))*(Dades_PA!$B$39/100)*I38),IF(P38="Producto",0,"")))</f>
        <v/>
      </c>
      <c r="V38" s="88" t="str">
        <f t="shared" si="5"/>
        <v/>
      </c>
    </row>
    <row r="39" spans="2:25" ht="15" customHeight="1" x14ac:dyDescent="0.25">
      <c r="E39" s="316"/>
      <c r="F39" s="88" t="str">
        <f>IF('2.1 Absorciones árboles'!E30=0,"",'2.1 Absorciones árboles'!E30)</f>
        <v/>
      </c>
      <c r="G39" s="171" t="str">
        <f>IFERROR(VLOOKUP(F39,Dades_PA!$A$6:$H$32,8,FALSE),"")</f>
        <v/>
      </c>
      <c r="H39" s="86" t="str">
        <f t="shared" si="7"/>
        <v/>
      </c>
      <c r="I39" s="87"/>
      <c r="J39" s="171" t="str">
        <f t="shared" si="1"/>
        <v/>
      </c>
      <c r="K39" s="171" t="str">
        <f t="shared" si="2"/>
        <v>BST-</v>
      </c>
      <c r="L39" s="95"/>
      <c r="M39" s="200"/>
      <c r="N39" s="95"/>
      <c r="O39" s="94"/>
      <c r="P39" s="95"/>
      <c r="Q39" s="88" t="str">
        <f t="shared" si="3"/>
        <v>Bt-</v>
      </c>
      <c r="R39" s="88" t="str">
        <f>IF(J39="Vivas",0,IF(J39="Muertas",((INDEX(Dades_PA!$B$45:$Y$71,(MATCH('2.2 Emisiones restos corta'!F39,Espècies,0)),(MATCH('2.2 Emisiones restos corta'!K39,Dades_PA!$B$44:$Y$44,0))))*(Dades_PA!$B$39/100)*I39),""))</f>
        <v/>
      </c>
      <c r="S39" s="88" t="str">
        <f>IF(L39="Quema",((INDEX(Dades_PA!$B$45:$Y$71,(MATCH('2.2 Emisiones restos corta'!F39,Espècies,0)),(MATCH('2.2 Emisiones restos corta'!M39,Dades_PA!$B$44:$Y$44,0))))*I39),IF(L39="Descomposición",((INDEX(Dades_PA!$B$45:$Y$71,(MATCH('2.2 Emisiones restos corta'!F39,Espècies,0)),(MATCH('2.2 Emisiones restos corta'!M39,Dades_PA!$B$44:$Y$44,0))))*(Dades_PA!$B$39/100)*I39),IF(L39="Producto",0,"")))</f>
        <v/>
      </c>
      <c r="T39" s="88" t="str">
        <f>IF(N39="Quema",((INDEX(Dades_PA!$B$45:$Y$71,(MATCH('2.2 Emisiones restos corta'!F39,Espècies,0)),(MATCH('2.2 Emisiones restos corta'!O39,Dades_PA!$B$44:$Y$44,0))))*I39),IF(N39="Descomposición",((INDEX(Dades_PA!$B$45:$Y$71,(MATCH('2.2 Emisiones restos corta'!F39,Espècies,0)),(MATCH('2.2 Emisiones restos corta'!O39,Dades_PA!$B$44:$Y$44,0))))*(Dades_PA!$B$39/100)*I39),IF(N39="Producto",0,"")))</f>
        <v/>
      </c>
      <c r="U39" s="88" t="str">
        <f>IF(P39="Quema",((INDEX(Dades_PA!$B$45:$Y$71,(MATCH('2.2 Emisiones restos corta'!F39,Espècies,0)),(MATCH('2.2 Emisiones restos corta'!Q39,Dades_PA!$B$44:$Y$44,0))))*I39),IF(P39="Descomposición",((INDEX(Dades_PA!$B$45:$Y$71,(MATCH('2.2 Emisiones restos corta'!F39,Espècies,0)),(MATCH('2.2 Emisiones restos corta'!Q39,Dades_PA!$B$44:$Y$44,0))))*(Dades_PA!$B$39/100)*I39),IF(P39="Producto",0,"")))</f>
        <v/>
      </c>
      <c r="V39" s="88" t="str">
        <f t="shared" si="5"/>
        <v/>
      </c>
    </row>
    <row r="40" spans="2:25" s="8" customFormat="1" ht="15" customHeight="1" x14ac:dyDescent="0.25">
      <c r="B40" s="2"/>
      <c r="C40" s="2"/>
      <c r="D40" s="6"/>
      <c r="E40" s="316"/>
      <c r="F40" s="88" t="str">
        <f>IF('2.1 Absorciones árboles'!E31=0,"",'2.1 Absorciones árboles'!E31)</f>
        <v/>
      </c>
      <c r="G40" s="171" t="str">
        <f>IFERROR(VLOOKUP(F40,Dades_PA!$A$6:$H$32,8,FALSE),"")</f>
        <v/>
      </c>
      <c r="H40" s="86" t="str">
        <f t="shared" si="7"/>
        <v/>
      </c>
      <c r="I40" s="87"/>
      <c r="J40" s="171" t="str">
        <f t="shared" si="1"/>
        <v/>
      </c>
      <c r="K40" s="171" t="str">
        <f t="shared" si="2"/>
        <v>BST-</v>
      </c>
      <c r="L40" s="95"/>
      <c r="M40" s="200"/>
      <c r="N40" s="95"/>
      <c r="O40" s="94"/>
      <c r="P40" s="95"/>
      <c r="Q40" s="88" t="str">
        <f t="shared" si="3"/>
        <v>Bt-</v>
      </c>
      <c r="R40" s="88" t="str">
        <f>IF(J40="Vivas",0,IF(J40="Muertas",((INDEX(Dades_PA!$B$45:$Y$71,(MATCH('2.2 Emisiones restos corta'!F40,Espècies,0)),(MATCH('2.2 Emisiones restos corta'!K40,Dades_PA!$B$44:$Y$44,0))))*(Dades_PA!$B$39/100)*I40),""))</f>
        <v/>
      </c>
      <c r="S40" s="88" t="str">
        <f>IF(L40="Quema",((INDEX(Dades_PA!$B$45:$Y$71,(MATCH('2.2 Emisiones restos corta'!F40,Espècies,0)),(MATCH('2.2 Emisiones restos corta'!M40,Dades_PA!$B$44:$Y$44,0))))*I40),IF(L40="Descomposición",((INDEX(Dades_PA!$B$45:$Y$71,(MATCH('2.2 Emisiones restos corta'!F40,Espècies,0)),(MATCH('2.2 Emisiones restos corta'!M40,Dades_PA!$B$44:$Y$44,0))))*(Dades_PA!$B$39/100)*I40),IF(L40="Producto",0,"")))</f>
        <v/>
      </c>
      <c r="T40" s="88" t="str">
        <f>IF(N40="Quema",((INDEX(Dades_PA!$B$45:$Y$71,(MATCH('2.2 Emisiones restos corta'!F40,Espècies,0)),(MATCH('2.2 Emisiones restos corta'!O40,Dades_PA!$B$44:$Y$44,0))))*I40),IF(N40="Descomposición",((INDEX(Dades_PA!$B$45:$Y$71,(MATCH('2.2 Emisiones restos corta'!F40,Espècies,0)),(MATCH('2.2 Emisiones restos corta'!O40,Dades_PA!$B$44:$Y$44,0))))*(Dades_PA!$B$39/100)*I40),IF(N40="Producto",0,"")))</f>
        <v/>
      </c>
      <c r="U40" s="88" t="str">
        <f>IF(P40="Quema",((INDEX(Dades_PA!$B$45:$Y$71,(MATCH('2.2 Emisiones restos corta'!F40,Espècies,0)),(MATCH('2.2 Emisiones restos corta'!Q40,Dades_PA!$B$44:$Y$44,0))))*I40),IF(P40="Descomposición",((INDEX(Dades_PA!$B$45:$Y$71,(MATCH('2.2 Emisiones restos corta'!F40,Espècies,0)),(MATCH('2.2 Emisiones restos corta'!Q40,Dades_PA!$B$44:$Y$44,0))))*(Dades_PA!$B$39/100)*I40),IF(P40="Producto",0,"")))</f>
        <v/>
      </c>
      <c r="V40" s="88" t="str">
        <f t="shared" si="5"/>
        <v/>
      </c>
      <c r="W40" s="6"/>
      <c r="X40" s="6"/>
      <c r="Y40" s="6"/>
    </row>
    <row r="41" spans="2:25" ht="13.5" customHeight="1" x14ac:dyDescent="0.25">
      <c r="E41" s="316"/>
      <c r="F41" s="88" t="str">
        <f>IF('2.1 Absorciones árboles'!E32=0,"",'2.1 Absorciones árboles'!E32)</f>
        <v/>
      </c>
      <c r="G41" s="171" t="str">
        <f>IFERROR(VLOOKUP(F41,Dades_PA!$A$6:$H$32,8,FALSE),"")</f>
        <v/>
      </c>
      <c r="H41" s="86" t="str">
        <f t="shared" si="7"/>
        <v/>
      </c>
      <c r="I41" s="87"/>
      <c r="J41" s="171" t="str">
        <f t="shared" si="1"/>
        <v/>
      </c>
      <c r="K41" s="171" t="str">
        <f t="shared" si="2"/>
        <v>BST-</v>
      </c>
      <c r="L41" s="95"/>
      <c r="M41" s="200"/>
      <c r="N41" s="95"/>
      <c r="O41" s="94"/>
      <c r="P41" s="95"/>
      <c r="Q41" s="88" t="str">
        <f t="shared" si="3"/>
        <v>Bt-</v>
      </c>
      <c r="R41" s="88" t="str">
        <f>IF(J41="Vivas",0,IF(J41="Muertas",((INDEX(Dades_PA!$B$45:$Y$71,(MATCH('2.2 Emisiones restos corta'!F41,Espècies,0)),(MATCH('2.2 Emisiones restos corta'!K41,Dades_PA!$B$44:$Y$44,0))))*(Dades_PA!$B$39/100)*I41),""))</f>
        <v/>
      </c>
      <c r="S41" s="88" t="str">
        <f>IF(L41="Quema",((INDEX(Dades_PA!$B$45:$Y$71,(MATCH('2.2 Emisiones restos corta'!F41,Espècies,0)),(MATCH('2.2 Emisiones restos corta'!M41,Dades_PA!$B$44:$Y$44,0))))*I41),IF(L41="Descomposición",((INDEX(Dades_PA!$B$45:$Y$71,(MATCH('2.2 Emisiones restos corta'!F41,Espècies,0)),(MATCH('2.2 Emisiones restos corta'!M41,Dades_PA!$B$44:$Y$44,0))))*(Dades_PA!$B$39/100)*I41),IF(L41="Producto",0,"")))</f>
        <v/>
      </c>
      <c r="T41" s="88" t="str">
        <f>IF(N41="Quema",((INDEX(Dades_PA!$B$45:$Y$71,(MATCH('2.2 Emisiones restos corta'!F41,Espècies,0)),(MATCH('2.2 Emisiones restos corta'!O41,Dades_PA!$B$44:$Y$44,0))))*I41),IF(N41="Descomposición",((INDEX(Dades_PA!$B$45:$Y$71,(MATCH('2.2 Emisiones restos corta'!F41,Espècies,0)),(MATCH('2.2 Emisiones restos corta'!O41,Dades_PA!$B$44:$Y$44,0))))*(Dades_PA!$B$39/100)*I41),IF(N41="Producto",0,"")))</f>
        <v/>
      </c>
      <c r="U41" s="88" t="str">
        <f>IF(P41="Quema",((INDEX(Dades_PA!$B$45:$Y$71,(MATCH('2.2 Emisiones restos corta'!F41,Espècies,0)),(MATCH('2.2 Emisiones restos corta'!Q41,Dades_PA!$B$44:$Y$44,0))))*I41),IF(P41="Descomposición",((INDEX(Dades_PA!$B$45:$Y$71,(MATCH('2.2 Emisiones restos corta'!F41,Espècies,0)),(MATCH('2.2 Emisiones restos corta'!Q41,Dades_PA!$B$44:$Y$44,0))))*(Dades_PA!$B$39/100)*I41),IF(P41="Producto",0,"")))</f>
        <v/>
      </c>
      <c r="V41" s="88" t="str">
        <f t="shared" si="5"/>
        <v/>
      </c>
    </row>
    <row r="42" spans="2:25" ht="15" customHeight="1" x14ac:dyDescent="0.25">
      <c r="E42" s="316"/>
      <c r="F42" s="88" t="str">
        <f>IF('2.1 Absorciones árboles'!E33=0,"",'2.1 Absorciones árboles'!E33)</f>
        <v/>
      </c>
      <c r="G42" s="171" t="str">
        <f>IFERROR(VLOOKUP(F42,Dades_PA!$A$6:$H$32,8,FALSE),"")</f>
        <v/>
      </c>
      <c r="H42" s="86" t="str">
        <f t="shared" si="7"/>
        <v/>
      </c>
      <c r="I42" s="87"/>
      <c r="J42" s="171" t="str">
        <f t="shared" si="1"/>
        <v/>
      </c>
      <c r="K42" s="171" t="str">
        <f t="shared" si="2"/>
        <v>BST-</v>
      </c>
      <c r="L42" s="95"/>
      <c r="M42" s="200"/>
      <c r="N42" s="95"/>
      <c r="O42" s="94"/>
      <c r="P42" s="95"/>
      <c r="Q42" s="88" t="str">
        <f t="shared" si="3"/>
        <v>Bt-</v>
      </c>
      <c r="R42" s="88" t="str">
        <f>IF(J42="Vivas",0,IF(J42="Muertas",((INDEX(Dades_PA!$B$45:$Y$71,(MATCH('2.2 Emisiones restos corta'!F42,Espècies,0)),(MATCH('2.2 Emisiones restos corta'!K42,Dades_PA!$B$44:$Y$44,0))))*(Dades_PA!$B$39/100)*I42),""))</f>
        <v/>
      </c>
      <c r="S42" s="88" t="str">
        <f>IF(L42="Quema",((INDEX(Dades_PA!$B$45:$Y$71,(MATCH('2.2 Emisiones restos corta'!F42,Espècies,0)),(MATCH('2.2 Emisiones restos corta'!M42,Dades_PA!$B$44:$Y$44,0))))*I42),IF(L42="Descomposición",((INDEX(Dades_PA!$B$45:$Y$71,(MATCH('2.2 Emisiones restos corta'!F42,Espècies,0)),(MATCH('2.2 Emisiones restos corta'!M42,Dades_PA!$B$44:$Y$44,0))))*(Dades_PA!$B$39/100)*I42),IF(L42="Producto",0,"")))</f>
        <v/>
      </c>
      <c r="T42" s="88" t="str">
        <f>IF(N42="Quema",((INDEX(Dades_PA!$B$45:$Y$71,(MATCH('2.2 Emisiones restos corta'!F42,Espècies,0)),(MATCH('2.2 Emisiones restos corta'!O42,Dades_PA!$B$44:$Y$44,0))))*I42),IF(N42="Descomposición",((INDEX(Dades_PA!$B$45:$Y$71,(MATCH('2.2 Emisiones restos corta'!F42,Espècies,0)),(MATCH('2.2 Emisiones restos corta'!O42,Dades_PA!$B$44:$Y$44,0))))*(Dades_PA!$B$39/100)*I42),IF(N42="Producto",0,"")))</f>
        <v/>
      </c>
      <c r="U42" s="88" t="str">
        <f>IF(P42="Quema",((INDEX(Dades_PA!$B$45:$Y$71,(MATCH('2.2 Emisiones restos corta'!F42,Espècies,0)),(MATCH('2.2 Emisiones restos corta'!Q42,Dades_PA!$B$44:$Y$44,0))))*I42),IF(P42="Descomposición",((INDEX(Dades_PA!$B$45:$Y$71,(MATCH('2.2 Emisiones restos corta'!F42,Espècies,0)),(MATCH('2.2 Emisiones restos corta'!Q42,Dades_PA!$B$44:$Y$44,0))))*(Dades_PA!$B$39/100)*I42),IF(P42="Producto",0,"")))</f>
        <v/>
      </c>
      <c r="V42" s="88" t="str">
        <f t="shared" si="5"/>
        <v/>
      </c>
    </row>
    <row r="43" spans="2:25" ht="15" customHeight="1" x14ac:dyDescent="0.25">
      <c r="E43" s="316"/>
      <c r="F43" s="88" t="str">
        <f>IF('2.1 Absorciones árboles'!E34=0,"",'2.1 Absorciones árboles'!E34)</f>
        <v/>
      </c>
      <c r="G43" s="171" t="str">
        <f>IFERROR(VLOOKUP(F43,Dades_PA!$A$6:$H$32,8,FALSE),"")</f>
        <v/>
      </c>
      <c r="H43" s="86" t="str">
        <f t="shared" si="7"/>
        <v/>
      </c>
      <c r="I43" s="87"/>
      <c r="J43" s="171" t="str">
        <f t="shared" si="1"/>
        <v/>
      </c>
      <c r="K43" s="171" t="str">
        <f t="shared" si="2"/>
        <v>BST-</v>
      </c>
      <c r="L43" s="95"/>
      <c r="M43" s="200"/>
      <c r="N43" s="95"/>
      <c r="O43" s="94"/>
      <c r="P43" s="95"/>
      <c r="Q43" s="88" t="str">
        <f t="shared" si="3"/>
        <v>Bt-</v>
      </c>
      <c r="R43" s="88" t="str">
        <f>IF(J43="Vivas",0,IF(J43="Muertas",((INDEX(Dades_PA!$B$45:$Y$71,(MATCH('2.2 Emisiones restos corta'!F43,Espècies,0)),(MATCH('2.2 Emisiones restos corta'!K43,Dades_PA!$B$44:$Y$44,0))))*(Dades_PA!$B$39/100)*I43),""))</f>
        <v/>
      </c>
      <c r="S43" s="88" t="str">
        <f>IF(L43="Quema",((INDEX(Dades_PA!$B$45:$Y$71,(MATCH('2.2 Emisiones restos corta'!F43,Espècies,0)),(MATCH('2.2 Emisiones restos corta'!M43,Dades_PA!$B$44:$Y$44,0))))*I43),IF(L43="Descomposición",((INDEX(Dades_PA!$B$45:$Y$71,(MATCH('2.2 Emisiones restos corta'!F43,Espècies,0)),(MATCH('2.2 Emisiones restos corta'!M43,Dades_PA!$B$44:$Y$44,0))))*(Dades_PA!$B$39/100)*I43),IF(L43="Producto",0,"")))</f>
        <v/>
      </c>
      <c r="T43" s="88" t="str">
        <f>IF(N43="Quema",((INDEX(Dades_PA!$B$45:$Y$71,(MATCH('2.2 Emisiones restos corta'!F43,Espècies,0)),(MATCH('2.2 Emisiones restos corta'!O43,Dades_PA!$B$44:$Y$44,0))))*I43),IF(N43="Descomposición",((INDEX(Dades_PA!$B$45:$Y$71,(MATCH('2.2 Emisiones restos corta'!F43,Espècies,0)),(MATCH('2.2 Emisiones restos corta'!O43,Dades_PA!$B$44:$Y$44,0))))*(Dades_PA!$B$39/100)*I43),IF(N43="Producto",0,"")))</f>
        <v/>
      </c>
      <c r="U43" s="88" t="str">
        <f>IF(P43="Quema",((INDEX(Dades_PA!$B$45:$Y$71,(MATCH('2.2 Emisiones restos corta'!F43,Espècies,0)),(MATCH('2.2 Emisiones restos corta'!Q43,Dades_PA!$B$44:$Y$44,0))))*I43),IF(P43="Descomposición",((INDEX(Dades_PA!$B$45:$Y$71,(MATCH('2.2 Emisiones restos corta'!F43,Espècies,0)),(MATCH('2.2 Emisiones restos corta'!Q43,Dades_PA!$B$44:$Y$44,0))))*(Dades_PA!$B$39/100)*I43),IF(P43="Producto",0,"")))</f>
        <v/>
      </c>
      <c r="V43" s="88" t="str">
        <f t="shared" si="5"/>
        <v/>
      </c>
    </row>
    <row r="44" spans="2:25" ht="15" customHeight="1" x14ac:dyDescent="0.25">
      <c r="E44" s="316"/>
      <c r="F44" s="88" t="str">
        <f>IF('2.1 Absorciones árboles'!E35=0,"",'2.1 Absorciones árboles'!E35)</f>
        <v/>
      </c>
      <c r="G44" s="171" t="str">
        <f>IFERROR(VLOOKUP(F44,Dades_PA!$A$6:$H$32,8,FALSE),"")</f>
        <v/>
      </c>
      <c r="H44" s="86" t="str">
        <f t="shared" si="7"/>
        <v/>
      </c>
      <c r="I44" s="87"/>
      <c r="J44" s="171" t="str">
        <f t="shared" si="1"/>
        <v/>
      </c>
      <c r="K44" s="171" t="str">
        <f t="shared" si="2"/>
        <v>BST-</v>
      </c>
      <c r="L44" s="95"/>
      <c r="M44" s="200"/>
      <c r="N44" s="95"/>
      <c r="O44" s="94"/>
      <c r="P44" s="95"/>
      <c r="Q44" s="88" t="str">
        <f t="shared" si="3"/>
        <v>Bt-</v>
      </c>
      <c r="R44" s="88" t="str">
        <f>IF(J44="Vivas",0,IF(J44="Muertas",((INDEX(Dades_PA!$B$45:$Y$71,(MATCH('2.2 Emisiones restos corta'!F44,Espècies,0)),(MATCH('2.2 Emisiones restos corta'!K44,Dades_PA!$B$44:$Y$44,0))))*(Dades_PA!$B$39/100)*I44),""))</f>
        <v/>
      </c>
      <c r="S44" s="88" t="str">
        <f>IF(L44="Quema",((INDEX(Dades_PA!$B$45:$Y$71,(MATCH('2.2 Emisiones restos corta'!F44,Espècies,0)),(MATCH('2.2 Emisiones restos corta'!M44,Dades_PA!$B$44:$Y$44,0))))*I44),IF(L44="Descomposición",((INDEX(Dades_PA!$B$45:$Y$71,(MATCH('2.2 Emisiones restos corta'!F44,Espècies,0)),(MATCH('2.2 Emisiones restos corta'!M44,Dades_PA!$B$44:$Y$44,0))))*(Dades_PA!$B$39/100)*I44),IF(L44="Producto",0,"")))</f>
        <v/>
      </c>
      <c r="T44" s="88" t="str">
        <f>IF(N44="Quema",((INDEX(Dades_PA!$B$45:$Y$71,(MATCH('2.2 Emisiones restos corta'!F44,Espècies,0)),(MATCH('2.2 Emisiones restos corta'!O44,Dades_PA!$B$44:$Y$44,0))))*I44),IF(N44="Descomposición",((INDEX(Dades_PA!$B$45:$Y$71,(MATCH('2.2 Emisiones restos corta'!F44,Espècies,0)),(MATCH('2.2 Emisiones restos corta'!O44,Dades_PA!$B$44:$Y$44,0))))*(Dades_PA!$B$39/100)*I44),IF(N44="Producto",0,"")))</f>
        <v/>
      </c>
      <c r="U44" s="88" t="str">
        <f>IF(P44="Quema",((INDEX(Dades_PA!$B$45:$Y$71,(MATCH('2.2 Emisiones restos corta'!F44,Espècies,0)),(MATCH('2.2 Emisiones restos corta'!Q44,Dades_PA!$B$44:$Y$44,0))))*I44),IF(P44="Descomposición",((INDEX(Dades_PA!$B$45:$Y$71,(MATCH('2.2 Emisiones restos corta'!F44,Espècies,0)),(MATCH('2.2 Emisiones restos corta'!Q44,Dades_PA!$B$44:$Y$44,0))))*(Dades_PA!$B$39/100)*I44),IF(P44="Producto",0,"")))</f>
        <v/>
      </c>
      <c r="V44" s="88" t="str">
        <f t="shared" si="5"/>
        <v/>
      </c>
    </row>
    <row r="45" spans="2:25" ht="16.5" customHeight="1" thickBot="1" x14ac:dyDescent="0.3">
      <c r="E45" s="320"/>
      <c r="F45" s="169" t="str">
        <f>IF('2.1 Absorciones árboles'!E36=0,"",'2.1 Absorciones árboles'!E36)</f>
        <v/>
      </c>
      <c r="G45" s="180" t="str">
        <f>IFERROR(VLOOKUP(F45,Dades_PA!$A$6:$H$32,8,FALSE),"")</f>
        <v/>
      </c>
      <c r="H45" s="374" t="str">
        <f>$H$36</f>
        <v/>
      </c>
      <c r="I45" s="375"/>
      <c r="J45" s="180" t="str">
        <f t="shared" si="1"/>
        <v/>
      </c>
      <c r="K45" s="180" t="str">
        <f t="shared" si="2"/>
        <v>BST-</v>
      </c>
      <c r="L45" s="376"/>
      <c r="M45" s="377"/>
      <c r="N45" s="376"/>
      <c r="O45" s="378"/>
      <c r="P45" s="376"/>
      <c r="Q45" s="169" t="str">
        <f t="shared" si="3"/>
        <v>Bt-</v>
      </c>
      <c r="R45" s="169" t="str">
        <f>IF(J45="Vivas",0,IF(J45="Muertas",((INDEX(Dades_PA!$B$45:$Y$71,(MATCH('2.2 Emisiones restos corta'!F45,Espècies,0)),(MATCH('2.2 Emisiones restos corta'!K45,Dades_PA!$B$44:$Y$44,0))))*(Dades_PA!$B$39/100)*I45),""))</f>
        <v/>
      </c>
      <c r="S45" s="169" t="str">
        <f>IF(L45="Quema",((INDEX(Dades_PA!$B$45:$Y$71,(MATCH('2.2 Emisiones restos corta'!F45,Espècies,0)),(MATCH('2.2 Emisiones restos corta'!M45,Dades_PA!$B$44:$Y$44,0))))*I45),IF(L45="Descomposición",((INDEX(Dades_PA!$B$45:$Y$71,(MATCH('2.2 Emisiones restos corta'!F45,Espècies,0)),(MATCH('2.2 Emisiones restos corta'!M45,Dades_PA!$B$44:$Y$44,0))))*(Dades_PA!$B$39/100)*I45),IF(L45="Producto",0,"")))</f>
        <v/>
      </c>
      <c r="T45" s="169" t="str">
        <f>IF(N45="Quema",((INDEX(Dades_PA!$B$45:$Y$71,(MATCH('2.2 Emisiones restos corta'!F45,Espècies,0)),(MATCH('2.2 Emisiones restos corta'!O45,Dades_PA!$B$44:$Y$44,0))))*I45),IF(N45="Descomposición",((INDEX(Dades_PA!$B$45:$Y$71,(MATCH('2.2 Emisiones restos corta'!F45,Espècies,0)),(MATCH('2.2 Emisiones restos corta'!O45,Dades_PA!$B$44:$Y$44,0))))*(Dades_PA!$B$39/100)*I45),IF(N45="Producto",0,"")))</f>
        <v/>
      </c>
      <c r="U45" s="169" t="str">
        <f>IF(P45="Quema",((INDEX(Dades_PA!$B$45:$Y$71,(MATCH('2.2 Emisiones restos corta'!F45,Espècies,0)),(MATCH('2.2 Emisiones restos corta'!Q45,Dades_PA!$B$44:$Y$44,0))))*I45),IF(P45="Descomposición",((INDEX(Dades_PA!$B$45:$Y$71,(MATCH('2.2 Emisiones restos corta'!F45,Espècies,0)),(MATCH('2.2 Emisiones restos corta'!Q45,Dades_PA!$B$44:$Y$44,0))))*(Dades_PA!$B$39/100)*I45),IF(P45="Producto",0,"")))</f>
        <v/>
      </c>
      <c r="V45" s="169" t="str">
        <f t="shared" si="5"/>
        <v/>
      </c>
    </row>
    <row r="46" spans="2:25" ht="16.5" customHeight="1" x14ac:dyDescent="0.25">
      <c r="E46" s="315" t="str">
        <f>IF(('1. Datos generales del proyecto'!D34)="","",('1. Datos generales del proyecto'!D34))</f>
        <v/>
      </c>
      <c r="F46" s="84" t="str">
        <f>IF('2.1 Absorciones árboles'!E37=0,"",'2.1 Absorciones árboles'!E37)</f>
        <v/>
      </c>
      <c r="G46" s="170" t="str">
        <f>IFERROR(VLOOKUP(F46,Dades_PA!$A$6:$H$32,8,FALSE),"")</f>
        <v/>
      </c>
      <c r="H46" s="82" t="str">
        <f>IF(('2.1 Absorciones árboles'!H37&gt;0),('2.1 Absorciones árboles'!H37),"")</f>
        <v/>
      </c>
      <c r="I46" s="83"/>
      <c r="J46" s="170" t="str">
        <f t="shared" si="1"/>
        <v/>
      </c>
      <c r="K46" s="170" t="str">
        <f t="shared" si="2"/>
        <v>BST-</v>
      </c>
      <c r="L46" s="80"/>
      <c r="M46" s="93"/>
      <c r="N46" s="80"/>
      <c r="O46" s="93"/>
      <c r="P46" s="80"/>
      <c r="Q46" s="84" t="str">
        <f t="shared" si="3"/>
        <v>Bt-</v>
      </c>
      <c r="R46" s="84" t="str">
        <f>IF(J46="Vivas",0,IF(J46="Muertas",((INDEX(Dades_PA!$B$45:$Y$71,(MATCH('2.2 Emisiones restos corta'!F46,Espècies,0)),(MATCH('2.2 Emisiones restos corta'!K46,Dades_PA!$B$44:$Y$44,0))))*(Dades_PA!$B$39/100)*I46),""))</f>
        <v/>
      </c>
      <c r="S46" s="84" t="str">
        <f>IF(L46="Quema",((INDEX(Dades_PA!$B$45:$Y$71,(MATCH('2.2 Emisiones restos corta'!F46,Espècies,0)),(MATCH('2.2 Emisiones restos corta'!M46,Dades_PA!$B$44:$Y$44,0))))*I46),IF(L46="Descomposición",((INDEX(Dades_PA!$B$45:$Y$71,(MATCH('2.2 Emisiones restos corta'!F46,Espècies,0)),(MATCH('2.2 Emisiones restos corta'!M46,Dades_PA!$B$44:$Y$44,0))))*(Dades_PA!$B$39/100)*I46),IF(L46="Producto",0,"")))</f>
        <v/>
      </c>
      <c r="T46" s="84" t="str">
        <f>IF(N46="Quema",((INDEX(Dades_PA!$B$45:$Y$71,(MATCH('2.2 Emisiones restos corta'!F46,Espècies,0)),(MATCH('2.2 Emisiones restos corta'!O46,Dades_PA!$B$44:$Y$44,0))))*I46),IF(N46="Descomposición",((INDEX(Dades_PA!$B$45:$Y$71,(MATCH('2.2 Emisiones restos corta'!F46,Espècies,0)),(MATCH('2.2 Emisiones restos corta'!O46,Dades_PA!$B$44:$Y$44,0))))*(Dades_PA!$B$39/100)*I46),IF(N46="Producto",0,"")))</f>
        <v/>
      </c>
      <c r="U46" s="84" t="str">
        <f>IF(P46="Quema",((INDEX(Dades_PA!$B$45:$Y$71,(MATCH('2.2 Emisiones restos corta'!F46,Espècies,0)),(MATCH('2.2 Emisiones restos corta'!Q46,Dades_PA!$B$44:$Y$44,0))))*I46),IF(P46="Descomposición",((INDEX(Dades_PA!$B$45:$Y$71,(MATCH('2.2 Emisiones restos corta'!F46,Espècies,0)),(MATCH('2.2 Emisiones restos corta'!Q46,Dades_PA!$B$44:$Y$44,0))))*(Dades_PA!$B$39/100)*I46),IF(P46="Producto",0,"")))</f>
        <v/>
      </c>
      <c r="V46" s="108" t="str">
        <f t="shared" si="5"/>
        <v/>
      </c>
    </row>
    <row r="47" spans="2:25" ht="16.5" customHeight="1" x14ac:dyDescent="0.25">
      <c r="E47" s="316"/>
      <c r="F47" s="88" t="str">
        <f>IF('2.1 Absorciones árboles'!E38=0,"",'2.1 Absorciones árboles'!E38)</f>
        <v/>
      </c>
      <c r="G47" s="171" t="str">
        <f>IFERROR(VLOOKUP(F47,Dades_PA!$A$6:$H$32,8,FALSE),"")</f>
        <v/>
      </c>
      <c r="H47" s="86" t="str">
        <f>$H$46</f>
        <v/>
      </c>
      <c r="I47" s="87"/>
      <c r="J47" s="171" t="str">
        <f t="shared" si="1"/>
        <v/>
      </c>
      <c r="K47" s="171" t="str">
        <f t="shared" si="2"/>
        <v>BST-</v>
      </c>
      <c r="L47" s="95"/>
      <c r="M47" s="200"/>
      <c r="N47" s="95"/>
      <c r="O47" s="94"/>
      <c r="P47" s="95"/>
      <c r="Q47" s="88" t="str">
        <f t="shared" si="3"/>
        <v>Bt-</v>
      </c>
      <c r="R47" s="88" t="str">
        <f>IF(J47="Vivas",0,IF(J47="Muertas",((INDEX(Dades_PA!$B$45:$Y$71,(MATCH('2.2 Emisiones restos corta'!F47,Espècies,0)),(MATCH('2.2 Emisiones restos corta'!K47,Dades_PA!$B$44:$Y$44,0))))*(Dades_PA!$B$39/100)*I47),""))</f>
        <v/>
      </c>
      <c r="S47" s="88" t="str">
        <f>IF(L47="Quema",((INDEX(Dades_PA!$B$45:$Y$71,(MATCH('2.2 Emisiones restos corta'!F47,Espècies,0)),(MATCH('2.2 Emisiones restos corta'!M47,Dades_PA!$B$44:$Y$44,0))))*I47),IF(L47="Descomposición",((INDEX(Dades_PA!$B$45:$Y$71,(MATCH('2.2 Emisiones restos corta'!F47,Espècies,0)),(MATCH('2.2 Emisiones restos corta'!M47,Dades_PA!$B$44:$Y$44,0))))*(Dades_PA!$B$39/100)*I47),IF(L47="Producto",0,"")))</f>
        <v/>
      </c>
      <c r="T47" s="88" t="str">
        <f>IF(N47="Quema",((INDEX(Dades_PA!$B$45:$Y$71,(MATCH('2.2 Emisiones restos corta'!F47,Espècies,0)),(MATCH('2.2 Emisiones restos corta'!O47,Dades_PA!$B$44:$Y$44,0))))*I47),IF(N47="Descomposición",((INDEX(Dades_PA!$B$45:$Y$71,(MATCH('2.2 Emisiones restos corta'!F47,Espècies,0)),(MATCH('2.2 Emisiones restos corta'!O47,Dades_PA!$B$44:$Y$44,0))))*(Dades_PA!$B$39/100)*I47),IF(N47="Producto",0,"")))</f>
        <v/>
      </c>
      <c r="U47" s="88" t="str">
        <f>IF(P47="Quema",((INDEX(Dades_PA!$B$45:$Y$71,(MATCH('2.2 Emisiones restos corta'!F47,Espècies,0)),(MATCH('2.2 Emisiones restos corta'!Q47,Dades_PA!$B$44:$Y$44,0))))*I47),IF(P47="Descomposición",((INDEX(Dades_PA!$B$45:$Y$71,(MATCH('2.2 Emisiones restos corta'!F47,Espècies,0)),(MATCH('2.2 Emisiones restos corta'!Q47,Dades_PA!$B$44:$Y$44,0))))*(Dades_PA!$B$39/100)*I47),IF(P47="Producto",0,"")))</f>
        <v/>
      </c>
      <c r="V47" s="109" t="str">
        <f t="shared" si="5"/>
        <v/>
      </c>
    </row>
    <row r="48" spans="2:25" ht="16.5" customHeight="1" x14ac:dyDescent="0.25">
      <c r="E48" s="316"/>
      <c r="F48" s="88" t="str">
        <f>IF('2.1 Absorciones árboles'!E39=0,"",'2.1 Absorciones árboles'!E39)</f>
        <v/>
      </c>
      <c r="G48" s="171" t="str">
        <f>IFERROR(VLOOKUP(F48,Dades_PA!$A$6:$H$32,8,FALSE),"")</f>
        <v/>
      </c>
      <c r="H48" s="86" t="str">
        <f t="shared" ref="H48:H55" si="8">$H$46</f>
        <v/>
      </c>
      <c r="I48" s="87"/>
      <c r="J48" s="171" t="str">
        <f t="shared" si="1"/>
        <v/>
      </c>
      <c r="K48" s="171" t="str">
        <f t="shared" si="2"/>
        <v>BST-</v>
      </c>
      <c r="L48" s="95"/>
      <c r="M48" s="200"/>
      <c r="N48" s="95"/>
      <c r="O48" s="94"/>
      <c r="P48" s="95"/>
      <c r="Q48" s="88" t="str">
        <f t="shared" si="3"/>
        <v>Bt-</v>
      </c>
      <c r="R48" s="88" t="str">
        <f>IF(J48="Vivas",0,IF(J48="Muertas",((INDEX(Dades_PA!$B$45:$Y$71,(MATCH('2.2 Emisiones restos corta'!F48,Espècies,0)),(MATCH('2.2 Emisiones restos corta'!K48,Dades_PA!$B$44:$Y$44,0))))*(Dades_PA!$B$39/100)*I48),""))</f>
        <v/>
      </c>
      <c r="S48" s="88" t="str">
        <f>IF(L48="Quema",((INDEX(Dades_PA!$B$45:$Y$71,(MATCH('2.2 Emisiones restos corta'!F48,Espècies,0)),(MATCH('2.2 Emisiones restos corta'!M48,Dades_PA!$B$44:$Y$44,0))))*I48),IF(L48="Descomposición",((INDEX(Dades_PA!$B$45:$Y$71,(MATCH('2.2 Emisiones restos corta'!F48,Espècies,0)),(MATCH('2.2 Emisiones restos corta'!M48,Dades_PA!$B$44:$Y$44,0))))*(Dades_PA!$B$39/100)*I48),IF(L48="Producto",0,"")))</f>
        <v/>
      </c>
      <c r="T48" s="88" t="str">
        <f>IF(N48="Quema",((INDEX(Dades_PA!$B$45:$Y$71,(MATCH('2.2 Emisiones restos corta'!F48,Espècies,0)),(MATCH('2.2 Emisiones restos corta'!O48,Dades_PA!$B$44:$Y$44,0))))*I48),IF(N48="Descomposición",((INDEX(Dades_PA!$B$45:$Y$71,(MATCH('2.2 Emisiones restos corta'!F48,Espècies,0)),(MATCH('2.2 Emisiones restos corta'!O48,Dades_PA!$B$44:$Y$44,0))))*(Dades_PA!$B$39/100)*I48),IF(N48="Producto",0,"")))</f>
        <v/>
      </c>
      <c r="U48" s="88" t="str">
        <f>IF(P48="Quema",((INDEX(Dades_PA!$B$45:$Y$71,(MATCH('2.2 Emisiones restos corta'!F48,Espècies,0)),(MATCH('2.2 Emisiones restos corta'!Q48,Dades_PA!$B$44:$Y$44,0))))*I48),IF(P48="Descomposición",((INDEX(Dades_PA!$B$45:$Y$71,(MATCH('2.2 Emisiones restos corta'!F48,Espècies,0)),(MATCH('2.2 Emisiones restos corta'!Q48,Dades_PA!$B$44:$Y$44,0))))*(Dades_PA!$B$39/100)*I48),IF(P48="Producto",0,"")))</f>
        <v/>
      </c>
      <c r="V48" s="109" t="str">
        <f t="shared" si="5"/>
        <v/>
      </c>
    </row>
    <row r="49" spans="5:22" ht="16.5" customHeight="1" x14ac:dyDescent="0.25">
      <c r="E49" s="316"/>
      <c r="F49" s="88" t="str">
        <f>IF('2.1 Absorciones árboles'!E40=0,"",'2.1 Absorciones árboles'!E40)</f>
        <v/>
      </c>
      <c r="G49" s="171" t="str">
        <f>IFERROR(VLOOKUP(F49,Dades_PA!$A$6:$H$32,8,FALSE),"")</f>
        <v/>
      </c>
      <c r="H49" s="86" t="str">
        <f t="shared" si="8"/>
        <v/>
      </c>
      <c r="I49" s="87"/>
      <c r="J49" s="171" t="str">
        <f t="shared" si="1"/>
        <v/>
      </c>
      <c r="K49" s="171" t="str">
        <f t="shared" si="2"/>
        <v>BST-</v>
      </c>
      <c r="L49" s="95"/>
      <c r="M49" s="200"/>
      <c r="N49" s="95"/>
      <c r="O49" s="94"/>
      <c r="P49" s="95"/>
      <c r="Q49" s="88" t="str">
        <f t="shared" si="3"/>
        <v>Bt-</v>
      </c>
      <c r="R49" s="88" t="str">
        <f>IF(J49="Vivas",0,IF(J49="Muertas",((INDEX(Dades_PA!$B$45:$Y$71,(MATCH('2.2 Emisiones restos corta'!F49,Espècies,0)),(MATCH('2.2 Emisiones restos corta'!K49,Dades_PA!$B$44:$Y$44,0))))*(Dades_PA!$B$39/100)*I49),""))</f>
        <v/>
      </c>
      <c r="S49" s="88" t="str">
        <f>IF(L49="Quema",((INDEX(Dades_PA!$B$45:$Y$71,(MATCH('2.2 Emisiones restos corta'!F49,Espècies,0)),(MATCH('2.2 Emisiones restos corta'!M49,Dades_PA!$B$44:$Y$44,0))))*I49),IF(L49="Descomposición",((INDEX(Dades_PA!$B$45:$Y$71,(MATCH('2.2 Emisiones restos corta'!F49,Espècies,0)),(MATCH('2.2 Emisiones restos corta'!M49,Dades_PA!$B$44:$Y$44,0))))*(Dades_PA!$B$39/100)*I49),IF(L49="Producto",0,"")))</f>
        <v/>
      </c>
      <c r="T49" s="88" t="str">
        <f>IF(N49="Quema",((INDEX(Dades_PA!$B$45:$Y$71,(MATCH('2.2 Emisiones restos corta'!F49,Espècies,0)),(MATCH('2.2 Emisiones restos corta'!O49,Dades_PA!$B$44:$Y$44,0))))*I49),IF(N49="Descomposición",((INDEX(Dades_PA!$B$45:$Y$71,(MATCH('2.2 Emisiones restos corta'!F49,Espècies,0)),(MATCH('2.2 Emisiones restos corta'!O49,Dades_PA!$B$44:$Y$44,0))))*(Dades_PA!$B$39/100)*I49),IF(N49="Producto",0,"")))</f>
        <v/>
      </c>
      <c r="U49" s="88" t="str">
        <f>IF(P49="Quema",((INDEX(Dades_PA!$B$45:$Y$71,(MATCH('2.2 Emisiones restos corta'!F49,Espècies,0)),(MATCH('2.2 Emisiones restos corta'!Q49,Dades_PA!$B$44:$Y$44,0))))*I49),IF(P49="Descomposición",((INDEX(Dades_PA!$B$45:$Y$71,(MATCH('2.2 Emisiones restos corta'!F49,Espècies,0)),(MATCH('2.2 Emisiones restos corta'!Q49,Dades_PA!$B$44:$Y$44,0))))*(Dades_PA!$B$39/100)*I49),IF(P49="Producto",0,"")))</f>
        <v/>
      </c>
      <c r="V49" s="109" t="str">
        <f t="shared" si="5"/>
        <v/>
      </c>
    </row>
    <row r="50" spans="5:22" ht="16.5" customHeight="1" x14ac:dyDescent="0.25">
      <c r="E50" s="316"/>
      <c r="F50" s="88" t="str">
        <f>IF('2.1 Absorciones árboles'!E41=0,"",'2.1 Absorciones árboles'!E41)</f>
        <v/>
      </c>
      <c r="G50" s="171" t="str">
        <f>IFERROR(VLOOKUP(F50,Dades_PA!$A$6:$H$32,8,FALSE),"")</f>
        <v/>
      </c>
      <c r="H50" s="86" t="str">
        <f t="shared" si="8"/>
        <v/>
      </c>
      <c r="I50" s="87"/>
      <c r="J50" s="171" t="str">
        <f t="shared" si="1"/>
        <v/>
      </c>
      <c r="K50" s="171" t="str">
        <f t="shared" si="2"/>
        <v>BST-</v>
      </c>
      <c r="L50" s="95"/>
      <c r="M50" s="200"/>
      <c r="N50" s="95"/>
      <c r="O50" s="94"/>
      <c r="P50" s="95"/>
      <c r="Q50" s="88" t="str">
        <f t="shared" si="3"/>
        <v>Bt-</v>
      </c>
      <c r="R50" s="88" t="str">
        <f>IF(J50="Vivas",0,IF(J50="Muertas",((INDEX(Dades_PA!$B$45:$Y$71,(MATCH('2.2 Emisiones restos corta'!F50,Espècies,0)),(MATCH('2.2 Emisiones restos corta'!K50,Dades_PA!$B$44:$Y$44,0))))*(Dades_PA!$B$39/100)*I50),""))</f>
        <v/>
      </c>
      <c r="S50" s="88" t="str">
        <f>IF(L50="Quema",((INDEX(Dades_PA!$B$45:$Y$71,(MATCH('2.2 Emisiones restos corta'!F50,Espècies,0)),(MATCH('2.2 Emisiones restos corta'!M50,Dades_PA!$B$44:$Y$44,0))))*I50),IF(L50="Descomposición",((INDEX(Dades_PA!$B$45:$Y$71,(MATCH('2.2 Emisiones restos corta'!F50,Espècies,0)),(MATCH('2.2 Emisiones restos corta'!M50,Dades_PA!$B$44:$Y$44,0))))*(Dades_PA!$B$39/100)*I50),IF(L50="Producto",0,"")))</f>
        <v/>
      </c>
      <c r="T50" s="88" t="str">
        <f>IF(N50="Quema",((INDEX(Dades_PA!$B$45:$Y$71,(MATCH('2.2 Emisiones restos corta'!F50,Espècies,0)),(MATCH('2.2 Emisiones restos corta'!O50,Dades_PA!$B$44:$Y$44,0))))*I50),IF(N50="Descomposición",((INDEX(Dades_PA!$B$45:$Y$71,(MATCH('2.2 Emisiones restos corta'!F50,Espècies,0)),(MATCH('2.2 Emisiones restos corta'!O50,Dades_PA!$B$44:$Y$44,0))))*(Dades_PA!$B$39/100)*I50),IF(N50="Producto",0,"")))</f>
        <v/>
      </c>
      <c r="U50" s="88" t="str">
        <f>IF(P50="Quema",((INDEX(Dades_PA!$B$45:$Y$71,(MATCH('2.2 Emisiones restos corta'!F50,Espècies,0)),(MATCH('2.2 Emisiones restos corta'!Q50,Dades_PA!$B$44:$Y$44,0))))*I50),IF(P50="Descomposición",((INDEX(Dades_PA!$B$45:$Y$71,(MATCH('2.2 Emisiones restos corta'!F50,Espècies,0)),(MATCH('2.2 Emisiones restos corta'!Q50,Dades_PA!$B$44:$Y$44,0))))*(Dades_PA!$B$39/100)*I50),IF(P50="Producto",0,"")))</f>
        <v/>
      </c>
      <c r="V50" s="109" t="str">
        <f t="shared" si="5"/>
        <v/>
      </c>
    </row>
    <row r="51" spans="5:22" ht="16.5" customHeight="1" x14ac:dyDescent="0.25">
      <c r="E51" s="316"/>
      <c r="F51" s="88" t="str">
        <f>IF('2.1 Absorciones árboles'!E42=0,"",'2.1 Absorciones árboles'!E42)</f>
        <v/>
      </c>
      <c r="G51" s="171" t="str">
        <f>IFERROR(VLOOKUP(F51,Dades_PA!$A$6:$H$32,8,FALSE),"")</f>
        <v/>
      </c>
      <c r="H51" s="86" t="str">
        <f t="shared" si="8"/>
        <v/>
      </c>
      <c r="I51" s="87"/>
      <c r="J51" s="171" t="str">
        <f t="shared" si="1"/>
        <v/>
      </c>
      <c r="K51" s="171" t="str">
        <f t="shared" si="2"/>
        <v>BST-</v>
      </c>
      <c r="L51" s="95"/>
      <c r="M51" s="200"/>
      <c r="N51" s="95"/>
      <c r="O51" s="94"/>
      <c r="P51" s="95"/>
      <c r="Q51" s="88" t="str">
        <f t="shared" si="3"/>
        <v>Bt-</v>
      </c>
      <c r="R51" s="88" t="str">
        <f>IF(J51="Vivas",0,IF(J51="Muertas",((INDEX(Dades_PA!$B$45:$Y$71,(MATCH('2.2 Emisiones restos corta'!F51,Espècies,0)),(MATCH('2.2 Emisiones restos corta'!K51,Dades_PA!$B$44:$Y$44,0))))*(Dades_PA!$B$39/100)*I51),""))</f>
        <v/>
      </c>
      <c r="S51" s="88" t="str">
        <f>IF(L51="Quema",((INDEX(Dades_PA!$B$45:$Y$71,(MATCH('2.2 Emisiones restos corta'!F51,Espècies,0)),(MATCH('2.2 Emisiones restos corta'!M51,Dades_PA!$B$44:$Y$44,0))))*I51),IF(L51="Descomposición",((INDEX(Dades_PA!$B$45:$Y$71,(MATCH('2.2 Emisiones restos corta'!F51,Espècies,0)),(MATCH('2.2 Emisiones restos corta'!M51,Dades_PA!$B$44:$Y$44,0))))*(Dades_PA!$B$39/100)*I51),IF(L51="Producto",0,"")))</f>
        <v/>
      </c>
      <c r="T51" s="88" t="str">
        <f>IF(N51="Quema",((INDEX(Dades_PA!$B$45:$Y$71,(MATCH('2.2 Emisiones restos corta'!F51,Espècies,0)),(MATCH('2.2 Emisiones restos corta'!O51,Dades_PA!$B$44:$Y$44,0))))*I51),IF(N51="Descomposición",((INDEX(Dades_PA!$B$45:$Y$71,(MATCH('2.2 Emisiones restos corta'!F51,Espècies,0)),(MATCH('2.2 Emisiones restos corta'!O51,Dades_PA!$B$44:$Y$44,0))))*(Dades_PA!$B$39/100)*I51),IF(N51="Producto",0,"")))</f>
        <v/>
      </c>
      <c r="U51" s="88" t="str">
        <f>IF(P51="Quema",((INDEX(Dades_PA!$B$45:$Y$71,(MATCH('2.2 Emisiones restos corta'!F51,Espècies,0)),(MATCH('2.2 Emisiones restos corta'!Q51,Dades_PA!$B$44:$Y$44,0))))*I51),IF(P51="Descomposición",((INDEX(Dades_PA!$B$45:$Y$71,(MATCH('2.2 Emisiones restos corta'!F51,Espècies,0)),(MATCH('2.2 Emisiones restos corta'!Q51,Dades_PA!$B$44:$Y$44,0))))*(Dades_PA!$B$39/100)*I51),IF(P51="Producto",0,"")))</f>
        <v/>
      </c>
      <c r="V51" s="109" t="str">
        <f t="shared" si="5"/>
        <v/>
      </c>
    </row>
    <row r="52" spans="5:22" ht="15" customHeight="1" x14ac:dyDescent="0.25">
      <c r="E52" s="316"/>
      <c r="F52" s="88" t="str">
        <f>IF('2.1 Absorciones árboles'!E43=0,"",'2.1 Absorciones árboles'!E43)</f>
        <v/>
      </c>
      <c r="G52" s="171" t="str">
        <f>IFERROR(VLOOKUP(F52,Dades_PA!$A$6:$H$32,8,FALSE),"")</f>
        <v/>
      </c>
      <c r="H52" s="86" t="str">
        <f t="shared" si="8"/>
        <v/>
      </c>
      <c r="I52" s="87"/>
      <c r="J52" s="171" t="str">
        <f t="shared" si="1"/>
        <v/>
      </c>
      <c r="K52" s="171" t="str">
        <f t="shared" si="2"/>
        <v>BST-</v>
      </c>
      <c r="L52" s="95"/>
      <c r="M52" s="200"/>
      <c r="N52" s="95"/>
      <c r="O52" s="94"/>
      <c r="P52" s="95"/>
      <c r="Q52" s="88" t="str">
        <f t="shared" si="3"/>
        <v>Bt-</v>
      </c>
      <c r="R52" s="88" t="str">
        <f>IF(J52="Vivas",0,IF(J52="Muertas",((INDEX(Dades_PA!$B$45:$Y$71,(MATCH('2.2 Emisiones restos corta'!F52,Espècies,0)),(MATCH('2.2 Emisiones restos corta'!K52,Dades_PA!$B$44:$Y$44,0))))*(Dades_PA!$B$39/100)*I52),""))</f>
        <v/>
      </c>
      <c r="S52" s="88" t="str">
        <f>IF(L52="Quema",((INDEX(Dades_PA!$B$45:$Y$71,(MATCH('2.2 Emisiones restos corta'!F52,Espècies,0)),(MATCH('2.2 Emisiones restos corta'!M52,Dades_PA!$B$44:$Y$44,0))))*I52),IF(L52="Descomposición",((INDEX(Dades_PA!$B$45:$Y$71,(MATCH('2.2 Emisiones restos corta'!F52,Espècies,0)),(MATCH('2.2 Emisiones restos corta'!M52,Dades_PA!$B$44:$Y$44,0))))*(Dades_PA!$B$39/100)*I52),IF(L52="Producto",0,"")))</f>
        <v/>
      </c>
      <c r="T52" s="88" t="str">
        <f>IF(N52="Quema",((INDEX(Dades_PA!$B$45:$Y$71,(MATCH('2.2 Emisiones restos corta'!F52,Espècies,0)),(MATCH('2.2 Emisiones restos corta'!O52,Dades_PA!$B$44:$Y$44,0))))*I52),IF(N52="Descomposición",((INDEX(Dades_PA!$B$45:$Y$71,(MATCH('2.2 Emisiones restos corta'!F52,Espècies,0)),(MATCH('2.2 Emisiones restos corta'!O52,Dades_PA!$B$44:$Y$44,0))))*(Dades_PA!$B$39/100)*I52),IF(N52="Producto",0,"")))</f>
        <v/>
      </c>
      <c r="U52" s="88" t="str">
        <f>IF(P52="Quema",((INDEX(Dades_PA!$B$45:$Y$71,(MATCH('2.2 Emisiones restos corta'!F52,Espècies,0)),(MATCH('2.2 Emisiones restos corta'!Q52,Dades_PA!$B$44:$Y$44,0))))*I52),IF(P52="Descomposición",((INDEX(Dades_PA!$B$45:$Y$71,(MATCH('2.2 Emisiones restos corta'!F52,Espècies,0)),(MATCH('2.2 Emisiones restos corta'!Q52,Dades_PA!$B$44:$Y$44,0))))*(Dades_PA!$B$39/100)*I52),IF(P52="Producto",0,"")))</f>
        <v/>
      </c>
      <c r="V52" s="109" t="str">
        <f t="shared" si="5"/>
        <v/>
      </c>
    </row>
    <row r="53" spans="5:22" ht="16.5" customHeight="1" x14ac:dyDescent="0.25">
      <c r="E53" s="316"/>
      <c r="F53" s="88" t="str">
        <f>IF('2.1 Absorciones árboles'!E44=0,"",'2.1 Absorciones árboles'!E44)</f>
        <v/>
      </c>
      <c r="G53" s="171" t="str">
        <f>IFERROR(VLOOKUP(F53,Dades_PA!$A$6:$H$32,8,FALSE),"")</f>
        <v/>
      </c>
      <c r="H53" s="86" t="str">
        <f t="shared" si="8"/>
        <v/>
      </c>
      <c r="I53" s="87"/>
      <c r="J53" s="171" t="str">
        <f t="shared" si="1"/>
        <v/>
      </c>
      <c r="K53" s="171" t="str">
        <f t="shared" si="2"/>
        <v>BST-</v>
      </c>
      <c r="L53" s="95"/>
      <c r="M53" s="200"/>
      <c r="N53" s="95"/>
      <c r="O53" s="94"/>
      <c r="P53" s="95"/>
      <c r="Q53" s="88" t="str">
        <f t="shared" si="3"/>
        <v>Bt-</v>
      </c>
      <c r="R53" s="88" t="str">
        <f>IF(J53="Vivas",0,IF(J53="Muertas",((INDEX(Dades_PA!$B$45:$Y$71,(MATCH('2.2 Emisiones restos corta'!F53,Espècies,0)),(MATCH('2.2 Emisiones restos corta'!K53,Dades_PA!$B$44:$Y$44,0))))*(Dades_PA!$B$39/100)*I53),""))</f>
        <v/>
      </c>
      <c r="S53" s="88" t="str">
        <f>IF(L53="Quema",((INDEX(Dades_PA!$B$45:$Y$71,(MATCH('2.2 Emisiones restos corta'!F53,Espècies,0)),(MATCH('2.2 Emisiones restos corta'!M53,Dades_PA!$B$44:$Y$44,0))))*I53),IF(L53="Descomposición",((INDEX(Dades_PA!$B$45:$Y$71,(MATCH('2.2 Emisiones restos corta'!F53,Espècies,0)),(MATCH('2.2 Emisiones restos corta'!M53,Dades_PA!$B$44:$Y$44,0))))*(Dades_PA!$B$39/100)*I53),IF(L53="Producto",0,"")))</f>
        <v/>
      </c>
      <c r="T53" s="88" t="str">
        <f>IF(N53="Quema",((INDEX(Dades_PA!$B$45:$Y$71,(MATCH('2.2 Emisiones restos corta'!F53,Espècies,0)),(MATCH('2.2 Emisiones restos corta'!O53,Dades_PA!$B$44:$Y$44,0))))*I53),IF(N53="Descomposición",((INDEX(Dades_PA!$B$45:$Y$71,(MATCH('2.2 Emisiones restos corta'!F53,Espècies,0)),(MATCH('2.2 Emisiones restos corta'!O53,Dades_PA!$B$44:$Y$44,0))))*(Dades_PA!$B$39/100)*I53),IF(N53="Producto",0,"")))</f>
        <v/>
      </c>
      <c r="U53" s="88" t="str">
        <f>IF(P53="Quema",((INDEX(Dades_PA!$B$45:$Y$71,(MATCH('2.2 Emisiones restos corta'!F53,Espècies,0)),(MATCH('2.2 Emisiones restos corta'!Q53,Dades_PA!$B$44:$Y$44,0))))*I53),IF(P53="Descomposición",((INDEX(Dades_PA!$B$45:$Y$71,(MATCH('2.2 Emisiones restos corta'!F53,Espècies,0)),(MATCH('2.2 Emisiones restos corta'!Q53,Dades_PA!$B$44:$Y$44,0))))*(Dades_PA!$B$39/100)*I53),IF(P53="Producto",0,"")))</f>
        <v/>
      </c>
      <c r="V53" s="109" t="str">
        <f t="shared" si="5"/>
        <v/>
      </c>
    </row>
    <row r="54" spans="5:22" ht="15" customHeight="1" x14ac:dyDescent="0.25">
      <c r="E54" s="316"/>
      <c r="F54" s="88" t="str">
        <f>IF('2.1 Absorciones árboles'!E45=0,"",'2.1 Absorciones árboles'!E45)</f>
        <v/>
      </c>
      <c r="G54" s="171" t="str">
        <f>IFERROR(VLOOKUP(F54,Dades_PA!$A$6:$H$32,8,FALSE),"")</f>
        <v/>
      </c>
      <c r="H54" s="86" t="str">
        <f t="shared" si="8"/>
        <v/>
      </c>
      <c r="I54" s="87"/>
      <c r="J54" s="171" t="str">
        <f t="shared" si="1"/>
        <v/>
      </c>
      <c r="K54" s="171" t="str">
        <f t="shared" si="2"/>
        <v>BST-</v>
      </c>
      <c r="L54" s="95"/>
      <c r="M54" s="200"/>
      <c r="N54" s="95"/>
      <c r="O54" s="94"/>
      <c r="P54" s="95"/>
      <c r="Q54" s="88" t="str">
        <f t="shared" si="3"/>
        <v>Bt-</v>
      </c>
      <c r="R54" s="88" t="str">
        <f>IF(J54="Vivas",0,IF(J54="Muertas",((INDEX(Dades_PA!$B$45:$Y$71,(MATCH('2.2 Emisiones restos corta'!F54,Espècies,0)),(MATCH('2.2 Emisiones restos corta'!K54,Dades_PA!$B$44:$Y$44,0))))*(Dades_PA!$B$39/100)*I54),""))</f>
        <v/>
      </c>
      <c r="S54" s="88" t="str">
        <f>IF(L54="Quema",((INDEX(Dades_PA!$B$45:$Y$71,(MATCH('2.2 Emisiones restos corta'!F54,Espècies,0)),(MATCH('2.2 Emisiones restos corta'!M54,Dades_PA!$B$44:$Y$44,0))))*I54),IF(L54="Descomposición",((INDEX(Dades_PA!$B$45:$Y$71,(MATCH('2.2 Emisiones restos corta'!F54,Espècies,0)),(MATCH('2.2 Emisiones restos corta'!M54,Dades_PA!$B$44:$Y$44,0))))*(Dades_PA!$B$39/100)*I54),IF(L54="Producto",0,"")))</f>
        <v/>
      </c>
      <c r="T54" s="88" t="str">
        <f>IF(N54="Quema",((INDEX(Dades_PA!$B$45:$Y$71,(MATCH('2.2 Emisiones restos corta'!F54,Espècies,0)),(MATCH('2.2 Emisiones restos corta'!O54,Dades_PA!$B$44:$Y$44,0))))*I54),IF(N54="Descomposición",((INDEX(Dades_PA!$B$45:$Y$71,(MATCH('2.2 Emisiones restos corta'!F54,Espècies,0)),(MATCH('2.2 Emisiones restos corta'!O54,Dades_PA!$B$44:$Y$44,0))))*(Dades_PA!$B$39/100)*I54),IF(N54="Producto",0,"")))</f>
        <v/>
      </c>
      <c r="U54" s="88" t="str">
        <f>IF(P54="Quema",((INDEX(Dades_PA!$B$45:$Y$71,(MATCH('2.2 Emisiones restos corta'!F54,Espècies,0)),(MATCH('2.2 Emisiones restos corta'!Q54,Dades_PA!$B$44:$Y$44,0))))*I54),IF(P54="Descomposición",((INDEX(Dades_PA!$B$45:$Y$71,(MATCH('2.2 Emisiones restos corta'!F54,Espècies,0)),(MATCH('2.2 Emisiones restos corta'!Q54,Dades_PA!$B$44:$Y$44,0))))*(Dades_PA!$B$39/100)*I54),IF(P54="Producto",0,"")))</f>
        <v/>
      </c>
      <c r="V54" s="109" t="str">
        <f t="shared" si="5"/>
        <v/>
      </c>
    </row>
    <row r="55" spans="5:22" ht="16.5" customHeight="1" thickBot="1" x14ac:dyDescent="0.3">
      <c r="E55" s="317"/>
      <c r="F55" s="92" t="str">
        <f>IF('2.1 Absorciones árboles'!E46=0,"",'2.1 Absorciones árboles'!E46)</f>
        <v/>
      </c>
      <c r="G55" s="172" t="str">
        <f>IFERROR(VLOOKUP(F55,Dades_PA!$A$6:$H$32,8,FALSE),"")</f>
        <v/>
      </c>
      <c r="H55" s="90" t="str">
        <f t="shared" si="8"/>
        <v/>
      </c>
      <c r="I55" s="91"/>
      <c r="J55" s="172" t="str">
        <f t="shared" si="1"/>
        <v/>
      </c>
      <c r="K55" s="172" t="str">
        <f t="shared" si="2"/>
        <v>BST-</v>
      </c>
      <c r="L55" s="97"/>
      <c r="M55" s="207"/>
      <c r="N55" s="97"/>
      <c r="O55" s="96"/>
      <c r="P55" s="97"/>
      <c r="Q55" s="92" t="str">
        <f t="shared" si="3"/>
        <v>Bt-</v>
      </c>
      <c r="R55" s="92" t="str">
        <f>IF(J55="Vivas",0,IF(J55="Muertas",((INDEX(Dades_PA!$B$45:$Y$71,(MATCH('2.2 Emisiones restos corta'!F55,Espècies,0)),(MATCH('2.2 Emisiones restos corta'!K55,Dades_PA!$B$44:$Y$44,0))))*(Dades_PA!$B$39/100)*I55),""))</f>
        <v/>
      </c>
      <c r="S55" s="92" t="str">
        <f>IF(L55="Quema",((INDEX(Dades_PA!$B$45:$Y$71,(MATCH('2.2 Emisiones restos corta'!F55,Espècies,0)),(MATCH('2.2 Emisiones restos corta'!M55,Dades_PA!$B$44:$Y$44,0))))*I55),IF(L55="Descomposición",((INDEX(Dades_PA!$B$45:$Y$71,(MATCH('2.2 Emisiones restos corta'!F55,Espècies,0)),(MATCH('2.2 Emisiones restos corta'!M55,Dades_PA!$B$44:$Y$44,0))))*(Dades_PA!$B$39/100)*I55),IF(L55="Producto",0,"")))</f>
        <v/>
      </c>
      <c r="T55" s="92" t="str">
        <f>IF(N55="Quema",((INDEX(Dades_PA!$B$45:$Y$71,(MATCH('2.2 Emisiones restos corta'!F55,Espècies,0)),(MATCH('2.2 Emisiones restos corta'!O55,Dades_PA!$B$44:$Y$44,0))))*I55),IF(N55="Descomposición",((INDEX(Dades_PA!$B$45:$Y$71,(MATCH('2.2 Emisiones restos corta'!F55,Espècies,0)),(MATCH('2.2 Emisiones restos corta'!O55,Dades_PA!$B$44:$Y$44,0))))*(Dades_PA!$B$39/100)*I55),IF(N55="Producto",0,"")))</f>
        <v/>
      </c>
      <c r="U55" s="92" t="str">
        <f>IF(P55="Quema",((INDEX(Dades_PA!$B$45:$Y$71,(MATCH('2.2 Emisiones restos corta'!F55,Espècies,0)),(MATCH('2.2 Emisiones restos corta'!Q55,Dades_PA!$B$44:$Y$44,0))))*I55),IF(P55="Descomposición",((INDEX(Dades_PA!$B$45:$Y$71,(MATCH('2.2 Emisiones restos corta'!F55,Espècies,0)),(MATCH('2.2 Emisiones restos corta'!Q55,Dades_PA!$B$44:$Y$44,0))))*(Dades_PA!$B$39/100)*I55),IF(P55="Producto",0,"")))</f>
        <v/>
      </c>
      <c r="V55" s="110" t="str">
        <f t="shared" si="5"/>
        <v/>
      </c>
    </row>
    <row r="56" spans="5:22" ht="16.5" customHeight="1" x14ac:dyDescent="0.25">
      <c r="E56" s="315" t="str">
        <f>IF(('1. Datos generales del proyecto'!D35)="","",('1. Datos generales del proyecto'!D35))</f>
        <v/>
      </c>
      <c r="F56" s="84" t="str">
        <f>IF('2.1 Absorciones árboles'!E47=0,"",'2.1 Absorciones árboles'!E47)</f>
        <v/>
      </c>
      <c r="G56" s="170" t="str">
        <f>IFERROR(VLOOKUP(F56,Dades_PA!$A$6:$H$32,8,FALSE),"")</f>
        <v/>
      </c>
      <c r="H56" s="82" t="str">
        <f>IF(('2.1 Absorciones árboles'!H47&gt;0),('2.1 Absorciones árboles'!H47),"")</f>
        <v/>
      </c>
      <c r="I56" s="83"/>
      <c r="J56" s="170" t="str">
        <f t="shared" si="1"/>
        <v/>
      </c>
      <c r="K56" s="170" t="str">
        <f t="shared" si="2"/>
        <v>BST-</v>
      </c>
      <c r="L56" s="80"/>
      <c r="M56" s="93"/>
      <c r="N56" s="80"/>
      <c r="O56" s="93"/>
      <c r="P56" s="80"/>
      <c r="Q56" s="84" t="str">
        <f t="shared" si="3"/>
        <v>Bt-</v>
      </c>
      <c r="R56" s="84" t="str">
        <f>IF(J56="Vivas",0,IF(J56="Muertas",((INDEX(Dades_PA!$B$45:$Y$71,(MATCH('2.2 Emisiones restos corta'!F56,Espècies,0)),(MATCH('2.2 Emisiones restos corta'!K56,Dades_PA!$B$44:$Y$44,0))))*(Dades_PA!$B$39/100)*I56),""))</f>
        <v/>
      </c>
      <c r="S56" s="84" t="str">
        <f>IF(L56="Quema",((INDEX(Dades_PA!$B$45:$Y$71,(MATCH('2.2 Emisiones restos corta'!F56,Espècies,0)),(MATCH('2.2 Emisiones restos corta'!M56,Dades_PA!$B$44:$Y$44,0))))*I56),IF(L56="Descomposición",((INDEX(Dades_PA!$B$45:$Y$71,(MATCH('2.2 Emisiones restos corta'!F56,Espècies,0)),(MATCH('2.2 Emisiones restos corta'!M56,Dades_PA!$B$44:$Y$44,0))))*(Dades_PA!$B$39/100)*I56),IF(L56="Producto",0,"")))</f>
        <v/>
      </c>
      <c r="T56" s="84" t="str">
        <f>IF(N56="Quema",((INDEX(Dades_PA!$B$45:$Y$71,(MATCH('2.2 Emisiones restos corta'!F56,Espècies,0)),(MATCH('2.2 Emisiones restos corta'!O56,Dades_PA!$B$44:$Y$44,0))))*I56),IF(N56="Descomposición",((INDEX(Dades_PA!$B$45:$Y$71,(MATCH('2.2 Emisiones restos corta'!F56,Espècies,0)),(MATCH('2.2 Emisiones restos corta'!O56,Dades_PA!$B$44:$Y$44,0))))*(Dades_PA!$B$39/100)*I56),IF(N56="Producto",0,"")))</f>
        <v/>
      </c>
      <c r="U56" s="84" t="str">
        <f>IF(P56="Quema",((INDEX(Dades_PA!$B$45:$Y$71,(MATCH('2.2 Emisiones restos corta'!F56,Espècies,0)),(MATCH('2.2 Emisiones restos corta'!Q56,Dades_PA!$B$44:$Y$44,0))))*I56),IF(P56="Descomposición",((INDEX(Dades_PA!$B$45:$Y$71,(MATCH('2.2 Emisiones restos corta'!F56,Espècies,0)),(MATCH('2.2 Emisiones restos corta'!Q56,Dades_PA!$B$44:$Y$44,0))))*(Dades_PA!$B$39/100)*I56),IF(P56="Producto",0,"")))</f>
        <v/>
      </c>
      <c r="V56" s="108" t="str">
        <f t="shared" si="5"/>
        <v/>
      </c>
    </row>
    <row r="57" spans="5:22" ht="15" customHeight="1" x14ac:dyDescent="0.25">
      <c r="E57" s="316"/>
      <c r="F57" s="88" t="str">
        <f>IF('2.1 Absorciones árboles'!E48=0,"",'2.1 Absorciones árboles'!E48)</f>
        <v/>
      </c>
      <c r="G57" s="171" t="str">
        <f>IFERROR(VLOOKUP(F57,Dades_PA!$A$6:$H$32,8,FALSE),"")</f>
        <v/>
      </c>
      <c r="H57" s="86" t="str">
        <f>$H$56</f>
        <v/>
      </c>
      <c r="I57" s="87"/>
      <c r="J57" s="171" t="str">
        <f t="shared" si="1"/>
        <v/>
      </c>
      <c r="K57" s="171" t="str">
        <f t="shared" si="2"/>
        <v>BST-</v>
      </c>
      <c r="L57" s="95"/>
      <c r="M57" s="200"/>
      <c r="N57" s="95"/>
      <c r="O57" s="94"/>
      <c r="P57" s="95"/>
      <c r="Q57" s="88" t="str">
        <f t="shared" si="3"/>
        <v>Bt-</v>
      </c>
      <c r="R57" s="88" t="str">
        <f>IF(J57="Vivas",0,IF(J57="Muertas",((INDEX(Dades_PA!$B$45:$Y$71,(MATCH('2.2 Emisiones restos corta'!F57,Espècies,0)),(MATCH('2.2 Emisiones restos corta'!K57,Dades_PA!$B$44:$Y$44,0))))*(Dades_PA!$B$39/100)*I57),""))</f>
        <v/>
      </c>
      <c r="S57" s="88" t="str">
        <f>IF(L57="Quema",((INDEX(Dades_PA!$B$45:$Y$71,(MATCH('2.2 Emisiones restos corta'!F57,Espècies,0)),(MATCH('2.2 Emisiones restos corta'!M57,Dades_PA!$B$44:$Y$44,0))))*I57),IF(L57="Descomposición",((INDEX(Dades_PA!$B$45:$Y$71,(MATCH('2.2 Emisiones restos corta'!F57,Espècies,0)),(MATCH('2.2 Emisiones restos corta'!M57,Dades_PA!$B$44:$Y$44,0))))*(Dades_PA!$B$39/100)*I57),IF(L57="Producto",0,"")))</f>
        <v/>
      </c>
      <c r="T57" s="88" t="str">
        <f>IF(N57="Quema",((INDEX(Dades_PA!$B$45:$Y$71,(MATCH('2.2 Emisiones restos corta'!F57,Espècies,0)),(MATCH('2.2 Emisiones restos corta'!O57,Dades_PA!$B$44:$Y$44,0))))*I57),IF(N57="Descomposición",((INDEX(Dades_PA!$B$45:$Y$71,(MATCH('2.2 Emisiones restos corta'!F57,Espècies,0)),(MATCH('2.2 Emisiones restos corta'!O57,Dades_PA!$B$44:$Y$44,0))))*(Dades_PA!$B$39/100)*I57),IF(N57="Producto",0,"")))</f>
        <v/>
      </c>
      <c r="U57" s="88" t="str">
        <f>IF(P57="Quema",((INDEX(Dades_PA!$B$45:$Y$71,(MATCH('2.2 Emisiones restos corta'!F57,Espècies,0)),(MATCH('2.2 Emisiones restos corta'!Q57,Dades_PA!$B$44:$Y$44,0))))*I57),IF(P57="Descomposición",((INDEX(Dades_PA!$B$45:$Y$71,(MATCH('2.2 Emisiones restos corta'!F57,Espècies,0)),(MATCH('2.2 Emisiones restos corta'!Q57,Dades_PA!$B$44:$Y$44,0))))*(Dades_PA!$B$39/100)*I57),IF(P57="Producto",0,"")))</f>
        <v/>
      </c>
      <c r="V57" s="109" t="str">
        <f t="shared" si="5"/>
        <v/>
      </c>
    </row>
    <row r="58" spans="5:22" ht="16.5" customHeight="1" x14ac:dyDescent="0.25">
      <c r="E58" s="316"/>
      <c r="F58" s="88" t="str">
        <f>IF('2.1 Absorciones árboles'!E49=0,"",'2.1 Absorciones árboles'!E49)</f>
        <v/>
      </c>
      <c r="G58" s="171" t="str">
        <f>IFERROR(VLOOKUP(F58,Dades_PA!$A$6:$H$32,8,FALSE),"")</f>
        <v/>
      </c>
      <c r="H58" s="86" t="str">
        <f t="shared" ref="H58:H65" si="9">$H$56</f>
        <v/>
      </c>
      <c r="I58" s="87"/>
      <c r="J58" s="171" t="str">
        <f t="shared" si="1"/>
        <v/>
      </c>
      <c r="K58" s="171" t="str">
        <f t="shared" si="2"/>
        <v>BST-</v>
      </c>
      <c r="L58" s="95"/>
      <c r="M58" s="200"/>
      <c r="N58" s="95"/>
      <c r="O58" s="94"/>
      <c r="P58" s="95"/>
      <c r="Q58" s="88" t="str">
        <f t="shared" si="3"/>
        <v>Bt-</v>
      </c>
      <c r="R58" s="88" t="str">
        <f>IF(J58="Vivas",0,IF(J58="Muertas",((INDEX(Dades_PA!$B$45:$Y$71,(MATCH('2.2 Emisiones restos corta'!F58,Espècies,0)),(MATCH('2.2 Emisiones restos corta'!K58,Dades_PA!$B$44:$Y$44,0))))*(Dades_PA!$B$39/100)*I58),""))</f>
        <v/>
      </c>
      <c r="S58" s="88" t="str">
        <f>IF(L58="Quema",((INDEX(Dades_PA!$B$45:$Y$71,(MATCH('2.2 Emisiones restos corta'!F58,Espècies,0)),(MATCH('2.2 Emisiones restos corta'!M58,Dades_PA!$B$44:$Y$44,0))))*I58),IF(L58="Descomposición",((INDEX(Dades_PA!$B$45:$Y$71,(MATCH('2.2 Emisiones restos corta'!F58,Espècies,0)),(MATCH('2.2 Emisiones restos corta'!M58,Dades_PA!$B$44:$Y$44,0))))*(Dades_PA!$B$39/100)*I58),IF(L58="Producto",0,"")))</f>
        <v/>
      </c>
      <c r="T58" s="88" t="str">
        <f>IF(N58="Quema",((INDEX(Dades_PA!$B$45:$Y$71,(MATCH('2.2 Emisiones restos corta'!F58,Espècies,0)),(MATCH('2.2 Emisiones restos corta'!O58,Dades_PA!$B$44:$Y$44,0))))*I58),IF(N58="Descomposición",((INDEX(Dades_PA!$B$45:$Y$71,(MATCH('2.2 Emisiones restos corta'!F58,Espècies,0)),(MATCH('2.2 Emisiones restos corta'!O58,Dades_PA!$B$44:$Y$44,0))))*(Dades_PA!$B$39/100)*I58),IF(N58="Producto",0,"")))</f>
        <v/>
      </c>
      <c r="U58" s="88" t="str">
        <f>IF(P58="Quema",((INDEX(Dades_PA!$B$45:$Y$71,(MATCH('2.2 Emisiones restos corta'!F58,Espècies,0)),(MATCH('2.2 Emisiones restos corta'!Q58,Dades_PA!$B$44:$Y$44,0))))*I58),IF(P58="Descomposición",((INDEX(Dades_PA!$B$45:$Y$71,(MATCH('2.2 Emisiones restos corta'!F58,Espècies,0)),(MATCH('2.2 Emisiones restos corta'!Q58,Dades_PA!$B$44:$Y$44,0))))*(Dades_PA!$B$39/100)*I58),IF(P58="Producto",0,"")))</f>
        <v/>
      </c>
      <c r="V58" s="109" t="str">
        <f t="shared" si="5"/>
        <v/>
      </c>
    </row>
    <row r="59" spans="5:22" ht="16.5" customHeight="1" x14ac:dyDescent="0.25">
      <c r="E59" s="316"/>
      <c r="F59" s="88" t="str">
        <f>IF('2.1 Absorciones árboles'!E50=0,"",'2.1 Absorciones árboles'!E50)</f>
        <v/>
      </c>
      <c r="G59" s="171" t="str">
        <f>IFERROR(VLOOKUP(F59,Dades_PA!$A$6:$H$32,8,FALSE),"")</f>
        <v/>
      </c>
      <c r="H59" s="86" t="str">
        <f t="shared" si="9"/>
        <v/>
      </c>
      <c r="I59" s="87"/>
      <c r="J59" s="171" t="str">
        <f t="shared" si="1"/>
        <v/>
      </c>
      <c r="K59" s="171" t="str">
        <f t="shared" si="2"/>
        <v>BST-</v>
      </c>
      <c r="L59" s="95"/>
      <c r="M59" s="200"/>
      <c r="N59" s="95"/>
      <c r="O59" s="94"/>
      <c r="P59" s="95"/>
      <c r="Q59" s="88" t="str">
        <f t="shared" si="3"/>
        <v>Bt-</v>
      </c>
      <c r="R59" s="88" t="str">
        <f>IF(J59="Vivas",0,IF(J59="Muertas",((INDEX(Dades_PA!$B$45:$Y$71,(MATCH('2.2 Emisiones restos corta'!F59,Espècies,0)),(MATCH('2.2 Emisiones restos corta'!K59,Dades_PA!$B$44:$Y$44,0))))*(Dades_PA!$B$39/100)*I59),""))</f>
        <v/>
      </c>
      <c r="S59" s="88" t="str">
        <f>IF(L59="Quema",((INDEX(Dades_PA!$B$45:$Y$71,(MATCH('2.2 Emisiones restos corta'!F59,Espècies,0)),(MATCH('2.2 Emisiones restos corta'!M59,Dades_PA!$B$44:$Y$44,0))))*I59),IF(L59="Descomposición",((INDEX(Dades_PA!$B$45:$Y$71,(MATCH('2.2 Emisiones restos corta'!F59,Espècies,0)),(MATCH('2.2 Emisiones restos corta'!M59,Dades_PA!$B$44:$Y$44,0))))*(Dades_PA!$B$39/100)*I59),IF(L59="Producto",0,"")))</f>
        <v/>
      </c>
      <c r="T59" s="88" t="str">
        <f>IF(N59="Quema",((INDEX(Dades_PA!$B$45:$Y$71,(MATCH('2.2 Emisiones restos corta'!F59,Espècies,0)),(MATCH('2.2 Emisiones restos corta'!O59,Dades_PA!$B$44:$Y$44,0))))*I59),IF(N59="Descomposición",((INDEX(Dades_PA!$B$45:$Y$71,(MATCH('2.2 Emisiones restos corta'!F59,Espècies,0)),(MATCH('2.2 Emisiones restos corta'!O59,Dades_PA!$B$44:$Y$44,0))))*(Dades_PA!$B$39/100)*I59),IF(N59="Producto",0,"")))</f>
        <v/>
      </c>
      <c r="U59" s="88" t="str">
        <f>IF(P59="Quema",((INDEX(Dades_PA!$B$45:$Y$71,(MATCH('2.2 Emisiones restos corta'!F59,Espècies,0)),(MATCH('2.2 Emisiones restos corta'!Q59,Dades_PA!$B$44:$Y$44,0))))*I59),IF(P59="Descomposición",((INDEX(Dades_PA!$B$45:$Y$71,(MATCH('2.2 Emisiones restos corta'!F59,Espècies,0)),(MATCH('2.2 Emisiones restos corta'!Q59,Dades_PA!$B$44:$Y$44,0))))*(Dades_PA!$B$39/100)*I59),IF(P59="Producto",0,"")))</f>
        <v/>
      </c>
      <c r="V59" s="109" t="str">
        <f t="shared" si="5"/>
        <v/>
      </c>
    </row>
    <row r="60" spans="5:22" ht="16.5" customHeight="1" x14ac:dyDescent="0.25">
      <c r="E60" s="316"/>
      <c r="F60" s="88" t="str">
        <f>IF('2.1 Absorciones árboles'!E51=0,"",'2.1 Absorciones árboles'!E51)</f>
        <v/>
      </c>
      <c r="G60" s="171" t="str">
        <f>IFERROR(VLOOKUP(F60,Dades_PA!$A$6:$H$32,8,FALSE),"")</f>
        <v/>
      </c>
      <c r="H60" s="86" t="str">
        <f t="shared" si="9"/>
        <v/>
      </c>
      <c r="I60" s="87"/>
      <c r="J60" s="171" t="str">
        <f t="shared" si="1"/>
        <v/>
      </c>
      <c r="K60" s="171" t="str">
        <f t="shared" si="2"/>
        <v>BST-</v>
      </c>
      <c r="L60" s="95"/>
      <c r="M60" s="200"/>
      <c r="N60" s="95"/>
      <c r="O60" s="94"/>
      <c r="P60" s="95"/>
      <c r="Q60" s="88" t="str">
        <f t="shared" si="3"/>
        <v>Bt-</v>
      </c>
      <c r="R60" s="88" t="str">
        <f>IF(J60="Vivas",0,IF(J60="Muertas",((INDEX(Dades_PA!$B$45:$Y$71,(MATCH('2.2 Emisiones restos corta'!F60,Espècies,0)),(MATCH('2.2 Emisiones restos corta'!K60,Dades_PA!$B$44:$Y$44,0))))*(Dades_PA!$B$39/100)*I60),""))</f>
        <v/>
      </c>
      <c r="S60" s="88" t="str">
        <f>IF(L60="Quema",((INDEX(Dades_PA!$B$45:$Y$71,(MATCH('2.2 Emisiones restos corta'!F60,Espècies,0)),(MATCH('2.2 Emisiones restos corta'!M60,Dades_PA!$B$44:$Y$44,0))))*I60),IF(L60="Descomposición",((INDEX(Dades_PA!$B$45:$Y$71,(MATCH('2.2 Emisiones restos corta'!F60,Espècies,0)),(MATCH('2.2 Emisiones restos corta'!M60,Dades_PA!$B$44:$Y$44,0))))*(Dades_PA!$B$39/100)*I60),IF(L60="Producto",0,"")))</f>
        <v/>
      </c>
      <c r="T60" s="88" t="str">
        <f>IF(N60="Quema",((INDEX(Dades_PA!$B$45:$Y$71,(MATCH('2.2 Emisiones restos corta'!F60,Espècies,0)),(MATCH('2.2 Emisiones restos corta'!O60,Dades_PA!$B$44:$Y$44,0))))*I60),IF(N60="Descomposición",((INDEX(Dades_PA!$B$45:$Y$71,(MATCH('2.2 Emisiones restos corta'!F60,Espècies,0)),(MATCH('2.2 Emisiones restos corta'!O60,Dades_PA!$B$44:$Y$44,0))))*(Dades_PA!$B$39/100)*I60),IF(N60="Producto",0,"")))</f>
        <v/>
      </c>
      <c r="U60" s="88" t="str">
        <f>IF(P60="Quema",((INDEX(Dades_PA!$B$45:$Y$71,(MATCH('2.2 Emisiones restos corta'!F60,Espècies,0)),(MATCH('2.2 Emisiones restos corta'!Q60,Dades_PA!$B$44:$Y$44,0))))*I60),IF(P60="Descomposición",((INDEX(Dades_PA!$B$45:$Y$71,(MATCH('2.2 Emisiones restos corta'!F60,Espècies,0)),(MATCH('2.2 Emisiones restos corta'!Q60,Dades_PA!$B$44:$Y$44,0))))*(Dades_PA!$B$39/100)*I60),IF(P60="Producto",0,"")))</f>
        <v/>
      </c>
      <c r="V60" s="109" t="str">
        <f t="shared" si="5"/>
        <v/>
      </c>
    </row>
    <row r="61" spans="5:22" ht="16.5" customHeight="1" x14ac:dyDescent="0.25">
      <c r="E61" s="316"/>
      <c r="F61" s="88" t="str">
        <f>IF('2.1 Absorciones árboles'!E52=0,"",'2.1 Absorciones árboles'!E52)</f>
        <v/>
      </c>
      <c r="G61" s="171" t="str">
        <f>IFERROR(VLOOKUP(F61,Dades_PA!$A$6:$H$32,8,FALSE),"")</f>
        <v/>
      </c>
      <c r="H61" s="86" t="str">
        <f t="shared" si="9"/>
        <v/>
      </c>
      <c r="I61" s="87"/>
      <c r="J61" s="171" t="str">
        <f t="shared" si="1"/>
        <v/>
      </c>
      <c r="K61" s="171" t="str">
        <f t="shared" si="2"/>
        <v>BST-</v>
      </c>
      <c r="L61" s="95"/>
      <c r="M61" s="200"/>
      <c r="N61" s="95"/>
      <c r="O61" s="94"/>
      <c r="P61" s="95"/>
      <c r="Q61" s="88" t="str">
        <f t="shared" si="3"/>
        <v>Bt-</v>
      </c>
      <c r="R61" s="88" t="str">
        <f>IF(J61="Vivas",0,IF(J61="Muertas",((INDEX(Dades_PA!$B$45:$Y$71,(MATCH('2.2 Emisiones restos corta'!F61,Espècies,0)),(MATCH('2.2 Emisiones restos corta'!K61,Dades_PA!$B$44:$Y$44,0))))*(Dades_PA!$B$39/100)*I61),""))</f>
        <v/>
      </c>
      <c r="S61" s="88" t="str">
        <f>IF(L61="Quema",((INDEX(Dades_PA!$B$45:$Y$71,(MATCH('2.2 Emisiones restos corta'!F61,Espècies,0)),(MATCH('2.2 Emisiones restos corta'!M61,Dades_PA!$B$44:$Y$44,0))))*I61),IF(L61="Descomposición",((INDEX(Dades_PA!$B$45:$Y$71,(MATCH('2.2 Emisiones restos corta'!F61,Espècies,0)),(MATCH('2.2 Emisiones restos corta'!M61,Dades_PA!$B$44:$Y$44,0))))*(Dades_PA!$B$39/100)*I61),IF(L61="Producto",0,"")))</f>
        <v/>
      </c>
      <c r="T61" s="88" t="str">
        <f>IF(N61="Quema",((INDEX(Dades_PA!$B$45:$Y$71,(MATCH('2.2 Emisiones restos corta'!F61,Espècies,0)),(MATCH('2.2 Emisiones restos corta'!O61,Dades_PA!$B$44:$Y$44,0))))*I61),IF(N61="Descomposición",((INDEX(Dades_PA!$B$45:$Y$71,(MATCH('2.2 Emisiones restos corta'!F61,Espècies,0)),(MATCH('2.2 Emisiones restos corta'!O61,Dades_PA!$B$44:$Y$44,0))))*(Dades_PA!$B$39/100)*I61),IF(N61="Producto",0,"")))</f>
        <v/>
      </c>
      <c r="U61" s="88" t="str">
        <f>IF(P61="Quema",((INDEX(Dades_PA!$B$45:$Y$71,(MATCH('2.2 Emisiones restos corta'!F61,Espècies,0)),(MATCH('2.2 Emisiones restos corta'!Q61,Dades_PA!$B$44:$Y$44,0))))*I61),IF(P61="Descomposición",((INDEX(Dades_PA!$B$45:$Y$71,(MATCH('2.2 Emisiones restos corta'!F61,Espècies,0)),(MATCH('2.2 Emisiones restos corta'!Q61,Dades_PA!$B$44:$Y$44,0))))*(Dades_PA!$B$39/100)*I61),IF(P61="Producto",0,"")))</f>
        <v/>
      </c>
      <c r="V61" s="109" t="str">
        <f t="shared" si="5"/>
        <v/>
      </c>
    </row>
    <row r="62" spans="5:22" ht="16.5" customHeight="1" x14ac:dyDescent="0.25">
      <c r="E62" s="316"/>
      <c r="F62" s="88" t="str">
        <f>IF('2.1 Absorciones árboles'!E53=0,"",'2.1 Absorciones árboles'!E53)</f>
        <v/>
      </c>
      <c r="G62" s="171" t="str">
        <f>IFERROR(VLOOKUP(F62,Dades_PA!$A$6:$H$32,8,FALSE),"")</f>
        <v/>
      </c>
      <c r="H62" s="86" t="str">
        <f t="shared" si="9"/>
        <v/>
      </c>
      <c r="I62" s="87"/>
      <c r="J62" s="171" t="str">
        <f t="shared" si="1"/>
        <v/>
      </c>
      <c r="K62" s="171" t="str">
        <f t="shared" si="2"/>
        <v>BST-</v>
      </c>
      <c r="L62" s="95"/>
      <c r="M62" s="94"/>
      <c r="N62" s="95"/>
      <c r="O62" s="94"/>
      <c r="P62" s="95"/>
      <c r="Q62" s="88" t="str">
        <f t="shared" si="3"/>
        <v>Bt-</v>
      </c>
      <c r="R62" s="88" t="str">
        <f>IF(J62="Vivas",0,IF(J62="Muertas",((INDEX(Dades_PA!$B$45:$Y$71,(MATCH('2.2 Emisiones restos corta'!F62,Espècies,0)),(MATCH('2.2 Emisiones restos corta'!K62,Dades_PA!$B$44:$Y$44,0))))*(Dades_PA!$B$39/100)*I62),""))</f>
        <v/>
      </c>
      <c r="S62" s="88" t="str">
        <f>IF(L62="Quema",((INDEX(Dades_PA!$B$45:$Y$71,(MATCH('2.2 Emisiones restos corta'!F62,Espècies,0)),(MATCH('2.2 Emisiones restos corta'!M62,Dades_PA!$B$44:$Y$44,0))))*I62),IF(L62="Descomposición",((INDEX(Dades_PA!$B$45:$Y$71,(MATCH('2.2 Emisiones restos corta'!F62,Espècies,0)),(MATCH('2.2 Emisiones restos corta'!M62,Dades_PA!$B$44:$Y$44,0))))*(Dades_PA!$B$39/100)*I62),IF(L62="Producto",0,"")))</f>
        <v/>
      </c>
      <c r="T62" s="88" t="str">
        <f>IF(N62="Quema",((INDEX(Dades_PA!$B$45:$Y$71,(MATCH('2.2 Emisiones restos corta'!F62,Espècies,0)),(MATCH('2.2 Emisiones restos corta'!O62,Dades_PA!$B$44:$Y$44,0))))*I62),IF(N62="Descomposición",((INDEX(Dades_PA!$B$45:$Y$71,(MATCH('2.2 Emisiones restos corta'!F62,Espècies,0)),(MATCH('2.2 Emisiones restos corta'!O62,Dades_PA!$B$44:$Y$44,0))))*(Dades_PA!$B$39/100)*I62),IF(N62="Producto",0,"")))</f>
        <v/>
      </c>
      <c r="U62" s="88" t="str">
        <f>IF(P62="Quema",((INDEX(Dades_PA!$B$45:$Y$71,(MATCH('2.2 Emisiones restos corta'!F62,Espècies,0)),(MATCH('2.2 Emisiones restos corta'!Q62,Dades_PA!$B$44:$Y$44,0))))*I62),IF(P62="Descomposición",((INDEX(Dades_PA!$B$45:$Y$71,(MATCH('2.2 Emisiones restos corta'!F62,Espècies,0)),(MATCH('2.2 Emisiones restos corta'!Q62,Dades_PA!$B$44:$Y$44,0))))*(Dades_PA!$B$39/100)*I62),IF(P62="Producto",0,"")))</f>
        <v/>
      </c>
      <c r="V62" s="109" t="str">
        <f t="shared" si="5"/>
        <v/>
      </c>
    </row>
    <row r="63" spans="5:22" ht="16.5" customHeight="1" x14ac:dyDescent="0.25">
      <c r="E63" s="316"/>
      <c r="F63" s="88" t="str">
        <f>IF('2.1 Absorciones árboles'!E54=0,"",'2.1 Absorciones árboles'!E54)</f>
        <v/>
      </c>
      <c r="G63" s="171" t="str">
        <f>IFERROR(VLOOKUP(F63,Dades_PA!$A$6:$H$32,8,FALSE),"")</f>
        <v/>
      </c>
      <c r="H63" s="86" t="str">
        <f t="shared" si="9"/>
        <v/>
      </c>
      <c r="I63" s="87"/>
      <c r="J63" s="171" t="str">
        <f t="shared" si="1"/>
        <v/>
      </c>
      <c r="K63" s="171" t="str">
        <f t="shared" si="2"/>
        <v>BST-</v>
      </c>
      <c r="L63" s="95"/>
      <c r="M63" s="94"/>
      <c r="N63" s="95"/>
      <c r="O63" s="94"/>
      <c r="P63" s="95"/>
      <c r="Q63" s="88" t="str">
        <f t="shared" si="3"/>
        <v>Bt-</v>
      </c>
      <c r="R63" s="88" t="str">
        <f>IF(J63="Vivas",0,IF(J63="Muertas",((INDEX(Dades_PA!$B$45:$Y$71,(MATCH('2.2 Emisiones restos corta'!F63,Espècies,0)),(MATCH('2.2 Emisiones restos corta'!K63,Dades_PA!$B$44:$Y$44,0))))*(Dades_PA!$B$39/100)*I63),""))</f>
        <v/>
      </c>
      <c r="S63" s="88" t="str">
        <f>IF(L63="Quema",((INDEX(Dades_PA!$B$45:$Y$71,(MATCH('2.2 Emisiones restos corta'!F63,Espècies,0)),(MATCH('2.2 Emisiones restos corta'!M63,Dades_PA!$B$44:$Y$44,0))))*I63),IF(L63="Descomposición",((INDEX(Dades_PA!$B$45:$Y$71,(MATCH('2.2 Emisiones restos corta'!F63,Espècies,0)),(MATCH('2.2 Emisiones restos corta'!M63,Dades_PA!$B$44:$Y$44,0))))*(Dades_PA!$B$39/100)*I63),IF(L63="Producto",0,"")))</f>
        <v/>
      </c>
      <c r="T63" s="88" t="str">
        <f>IF(N63="Quema",((INDEX(Dades_PA!$B$45:$Y$71,(MATCH('2.2 Emisiones restos corta'!F63,Espècies,0)),(MATCH('2.2 Emisiones restos corta'!O63,Dades_PA!$B$44:$Y$44,0))))*I63),IF(N63="Descomposición",((INDEX(Dades_PA!$B$45:$Y$71,(MATCH('2.2 Emisiones restos corta'!F63,Espècies,0)),(MATCH('2.2 Emisiones restos corta'!O63,Dades_PA!$B$44:$Y$44,0))))*(Dades_PA!$B$39/100)*I63),IF(N63="Producto",0,"")))</f>
        <v/>
      </c>
      <c r="U63" s="88" t="str">
        <f>IF(P63="Quema",((INDEX(Dades_PA!$B$45:$Y$71,(MATCH('2.2 Emisiones restos corta'!F63,Espècies,0)),(MATCH('2.2 Emisiones restos corta'!Q63,Dades_PA!$B$44:$Y$44,0))))*I63),IF(P63="Descomposición",((INDEX(Dades_PA!$B$45:$Y$71,(MATCH('2.2 Emisiones restos corta'!F63,Espècies,0)),(MATCH('2.2 Emisiones restos corta'!Q63,Dades_PA!$B$44:$Y$44,0))))*(Dades_PA!$B$39/100)*I63),IF(P63="Producto",0,"")))</f>
        <v/>
      </c>
      <c r="V63" s="109" t="str">
        <f t="shared" si="5"/>
        <v/>
      </c>
    </row>
    <row r="64" spans="5:22" ht="16.5" customHeight="1" x14ac:dyDescent="0.25">
      <c r="E64" s="316"/>
      <c r="F64" s="88" t="str">
        <f>IF('2.1 Absorciones árboles'!E55=0,"",'2.1 Absorciones árboles'!E55)</f>
        <v/>
      </c>
      <c r="G64" s="171" t="str">
        <f>IFERROR(VLOOKUP(F64,Dades_PA!$A$6:$H$32,8,FALSE),"")</f>
        <v/>
      </c>
      <c r="H64" s="86" t="str">
        <f t="shared" si="9"/>
        <v/>
      </c>
      <c r="I64" s="87"/>
      <c r="J64" s="171" t="str">
        <f t="shared" si="1"/>
        <v/>
      </c>
      <c r="K64" s="171" t="str">
        <f t="shared" si="2"/>
        <v>BST-</v>
      </c>
      <c r="L64" s="95"/>
      <c r="M64" s="94"/>
      <c r="N64" s="95"/>
      <c r="O64" s="94"/>
      <c r="P64" s="95"/>
      <c r="Q64" s="88" t="str">
        <f t="shared" si="3"/>
        <v>Bt-</v>
      </c>
      <c r="R64" s="88" t="str">
        <f>IF(J64="Vivas",0,IF(J64="Muertas",((INDEX(Dades_PA!$B$45:$Y$71,(MATCH('2.2 Emisiones restos corta'!F64,Espècies,0)),(MATCH('2.2 Emisiones restos corta'!K64,Dades_PA!$B$44:$Y$44,0))))*(Dades_PA!$B$39/100)*I64),""))</f>
        <v/>
      </c>
      <c r="S64" s="88" t="str">
        <f>IF(L64="Quema",((INDEX(Dades_PA!$B$45:$Y$71,(MATCH('2.2 Emisiones restos corta'!F64,Espècies,0)),(MATCH('2.2 Emisiones restos corta'!M64,Dades_PA!$B$44:$Y$44,0))))*I64),IF(L64="Descomposición",((INDEX(Dades_PA!$B$45:$Y$71,(MATCH('2.2 Emisiones restos corta'!F64,Espècies,0)),(MATCH('2.2 Emisiones restos corta'!M64,Dades_PA!$B$44:$Y$44,0))))*(Dades_PA!$B$39/100)*I64),IF(L64="Producto",0,"")))</f>
        <v/>
      </c>
      <c r="T64" s="88" t="str">
        <f>IF(N64="Quema",((INDEX(Dades_PA!$B$45:$Y$71,(MATCH('2.2 Emisiones restos corta'!F64,Espècies,0)),(MATCH('2.2 Emisiones restos corta'!O64,Dades_PA!$B$44:$Y$44,0))))*I64),IF(N64="Descomposición",((INDEX(Dades_PA!$B$45:$Y$71,(MATCH('2.2 Emisiones restos corta'!F64,Espècies,0)),(MATCH('2.2 Emisiones restos corta'!O64,Dades_PA!$B$44:$Y$44,0))))*(Dades_PA!$B$39/100)*I64),IF(N64="Producto",0,"")))</f>
        <v/>
      </c>
      <c r="U64" s="88" t="str">
        <f>IF(P64="Quema",((INDEX(Dades_PA!$B$45:$Y$71,(MATCH('2.2 Emisiones restos corta'!F64,Espècies,0)),(MATCH('2.2 Emisiones restos corta'!Q64,Dades_PA!$B$44:$Y$44,0))))*I64),IF(P64="Descomposición",((INDEX(Dades_PA!$B$45:$Y$71,(MATCH('2.2 Emisiones restos corta'!F64,Espècies,0)),(MATCH('2.2 Emisiones restos corta'!Q64,Dades_PA!$B$44:$Y$44,0))))*(Dades_PA!$B$39/100)*I64),IF(P64="Producto",0,"")))</f>
        <v/>
      </c>
      <c r="V64" s="109" t="str">
        <f t="shared" si="5"/>
        <v/>
      </c>
    </row>
    <row r="65" spans="5:22" ht="16.5" customHeight="1" thickBot="1" x14ac:dyDescent="0.3">
      <c r="E65" s="317"/>
      <c r="F65" s="92" t="str">
        <f>IF('2.1 Absorciones árboles'!E56=0,"",'2.1 Absorciones árboles'!E56)</f>
        <v/>
      </c>
      <c r="G65" s="172" t="str">
        <f>IFERROR(VLOOKUP(F65,Dades_PA!$A$6:$H$32,8,FALSE),"")</f>
        <v/>
      </c>
      <c r="H65" s="90" t="str">
        <f t="shared" si="9"/>
        <v/>
      </c>
      <c r="I65" s="91"/>
      <c r="J65" s="172" t="str">
        <f t="shared" si="1"/>
        <v/>
      </c>
      <c r="K65" s="172" t="str">
        <f t="shared" si="2"/>
        <v>BST-</v>
      </c>
      <c r="L65" s="97"/>
      <c r="M65" s="96"/>
      <c r="N65" s="97"/>
      <c r="O65" s="96"/>
      <c r="P65" s="97"/>
      <c r="Q65" s="92" t="str">
        <f t="shared" si="3"/>
        <v>Bt-</v>
      </c>
      <c r="R65" s="92" t="str">
        <f>IF(J65="Vivas",0,IF(J65="Muertas",((INDEX(Dades_PA!$B$45:$Y$71,(MATCH('2.2 Emisiones restos corta'!F65,Espècies,0)),(MATCH('2.2 Emisiones restos corta'!K65,Dades_PA!$B$44:$Y$44,0))))*(Dades_PA!$B$39/100)*I65),""))</f>
        <v/>
      </c>
      <c r="S65" s="92" t="str">
        <f>IF(L65="Quema",((INDEX(Dades_PA!$B$45:$Y$71,(MATCH('2.2 Emisiones restos corta'!F65,Espècies,0)),(MATCH('2.2 Emisiones restos corta'!M65,Dades_PA!$B$44:$Y$44,0))))*I65),IF(L65="Descomposición",((INDEX(Dades_PA!$B$45:$Y$71,(MATCH('2.2 Emisiones restos corta'!F65,Espècies,0)),(MATCH('2.2 Emisiones restos corta'!M65,Dades_PA!$B$44:$Y$44,0))))*(Dades_PA!$B$39/100)*I65),IF(L65="Producto",0,"")))</f>
        <v/>
      </c>
      <c r="T65" s="92" t="str">
        <f>IF(N65="Quema",((INDEX(Dades_PA!$B$45:$Y$71,(MATCH('2.2 Emisiones restos corta'!F65,Espècies,0)),(MATCH('2.2 Emisiones restos corta'!O65,Dades_PA!$B$44:$Y$44,0))))*I65),IF(N65="Descomposición",((INDEX(Dades_PA!$B$45:$Y$71,(MATCH('2.2 Emisiones restos corta'!F65,Espècies,0)),(MATCH('2.2 Emisiones restos corta'!O65,Dades_PA!$B$44:$Y$44,0))))*(Dades_PA!$B$39/100)*I65),IF(N65="Producto",0,"")))</f>
        <v/>
      </c>
      <c r="U65" s="92" t="str">
        <f>IF(P65="Quema",((INDEX(Dades_PA!$B$45:$Y$71,(MATCH('2.2 Emisiones restos corta'!F65,Espècies,0)),(MATCH('2.2 Emisiones restos corta'!Q65,Dades_PA!$B$44:$Y$44,0))))*I65),IF(P65="Descomposición",((INDEX(Dades_PA!$B$45:$Y$71,(MATCH('2.2 Emisiones restos corta'!F65,Espècies,0)),(MATCH('2.2 Emisiones restos corta'!Q65,Dades_PA!$B$44:$Y$44,0))))*(Dades_PA!$B$39/100)*I65),IF(P65="Producto",0,"")))</f>
        <v/>
      </c>
      <c r="V65" s="110" t="str">
        <f t="shared" si="5"/>
        <v/>
      </c>
    </row>
    <row r="66" spans="5:22" ht="16.5" customHeight="1" thickBot="1" x14ac:dyDescent="0.35">
      <c r="E66" s="379" t="s">
        <v>7</v>
      </c>
      <c r="F66" s="373" t="s">
        <v>6</v>
      </c>
      <c r="G66" s="373" t="s">
        <v>6</v>
      </c>
      <c r="H66" s="373" t="s">
        <v>6</v>
      </c>
      <c r="I66" s="380" t="str">
        <f>IF(SUM(I16:I65)=0,"",SUM(I16:I65))</f>
        <v/>
      </c>
      <c r="J66" s="373" t="s">
        <v>6</v>
      </c>
      <c r="K66" s="373" t="s">
        <v>6</v>
      </c>
      <c r="L66" s="373" t="s">
        <v>6</v>
      </c>
      <c r="M66" s="373" t="s">
        <v>6</v>
      </c>
      <c r="N66" s="373" t="s">
        <v>6</v>
      </c>
      <c r="O66" s="373" t="s">
        <v>6</v>
      </c>
      <c r="P66" s="373" t="s">
        <v>6</v>
      </c>
      <c r="Q66" s="373" t="s">
        <v>6</v>
      </c>
      <c r="R66" s="381">
        <f>SUM(R16:R65)</f>
        <v>0</v>
      </c>
      <c r="S66" s="381">
        <f t="shared" ref="S66:V66" si="10">SUM(S16:S65)</f>
        <v>0</v>
      </c>
      <c r="T66" s="381">
        <f t="shared" si="10"/>
        <v>0</v>
      </c>
      <c r="U66" s="381">
        <f t="shared" si="10"/>
        <v>0</v>
      </c>
      <c r="V66" s="382">
        <f t="shared" si="10"/>
        <v>0</v>
      </c>
    </row>
    <row r="67" spans="5:22" ht="16.5" customHeight="1" x14ac:dyDescent="0.25"/>
    <row r="68" spans="5:22" ht="16.5" customHeight="1" x14ac:dyDescent="0.25">
      <c r="E68" s="332" t="s">
        <v>269</v>
      </c>
      <c r="F68" s="333"/>
      <c r="G68" s="333"/>
      <c r="H68" s="333"/>
      <c r="I68" s="333"/>
      <c r="J68" s="333"/>
      <c r="K68" s="333"/>
      <c r="L68" s="333"/>
      <c r="M68" s="333"/>
      <c r="N68" s="333"/>
      <c r="O68" s="333"/>
      <c r="P68" s="333"/>
      <c r="Q68" s="333"/>
      <c r="R68" s="333"/>
      <c r="S68" s="333"/>
      <c r="T68" s="333"/>
      <c r="U68" s="333"/>
      <c r="V68" s="334"/>
    </row>
    <row r="69" spans="5:22" x14ac:dyDescent="0.25">
      <c r="E69" s="335"/>
      <c r="F69" s="336"/>
      <c r="G69" s="336"/>
      <c r="H69" s="336"/>
      <c r="I69" s="336"/>
      <c r="J69" s="336"/>
      <c r="K69" s="336"/>
      <c r="L69" s="336"/>
      <c r="M69" s="336"/>
      <c r="N69" s="336"/>
      <c r="O69" s="336"/>
      <c r="P69" s="336"/>
      <c r="Q69" s="336"/>
      <c r="R69" s="336"/>
      <c r="S69" s="336"/>
      <c r="T69" s="336"/>
      <c r="U69" s="336"/>
      <c r="V69" s="337"/>
    </row>
    <row r="70" spans="5:22" x14ac:dyDescent="0.25">
      <c r="E70" s="338"/>
      <c r="F70" s="339"/>
      <c r="G70" s="339"/>
      <c r="H70" s="339"/>
      <c r="I70" s="339"/>
      <c r="J70" s="339"/>
      <c r="K70" s="339"/>
      <c r="L70" s="339"/>
      <c r="M70" s="339"/>
      <c r="N70" s="339"/>
      <c r="O70" s="339"/>
      <c r="P70" s="339"/>
      <c r="Q70" s="339"/>
      <c r="R70" s="339"/>
      <c r="S70" s="339"/>
      <c r="T70" s="339"/>
      <c r="U70" s="339"/>
      <c r="V70" s="340"/>
    </row>
    <row r="115" ht="15" customHeight="1" x14ac:dyDescent="0.25"/>
  </sheetData>
  <sheetProtection sheet="1" objects="1" scenarios="1"/>
  <mergeCells count="26">
    <mergeCell ref="E68:V70"/>
    <mergeCell ref="E56:E65"/>
    <mergeCell ref="E46:E55"/>
    <mergeCell ref="E36:E45"/>
    <mergeCell ref="E26:E35"/>
    <mergeCell ref="C1:W1"/>
    <mergeCell ref="E14:E15"/>
    <mergeCell ref="F14:F15"/>
    <mergeCell ref="H14:H15"/>
    <mergeCell ref="U14:U15"/>
    <mergeCell ref="V14:V15"/>
    <mergeCell ref="E3:V12"/>
    <mergeCell ref="E16:E25"/>
    <mergeCell ref="I14:I15"/>
    <mergeCell ref="G14:G15"/>
    <mergeCell ref="S14:S15"/>
    <mergeCell ref="T14:T15"/>
    <mergeCell ref="M14:M15"/>
    <mergeCell ref="J14:J15"/>
    <mergeCell ref="L14:L15"/>
    <mergeCell ref="N14:N15"/>
    <mergeCell ref="P14:P15"/>
    <mergeCell ref="R14:R15"/>
    <mergeCell ref="O14:O15"/>
    <mergeCell ref="Q14:Q15"/>
    <mergeCell ref="K14:K15"/>
  </mergeCells>
  <dataValidations count="3">
    <dataValidation type="list" allowBlank="1" showInputMessage="1" showErrorMessage="1" sqref="P16:P65 N16:N65 L16:L65" xr:uid="{00000000-0002-0000-0300-000000000000}">
      <formula1>Restes</formula1>
    </dataValidation>
    <dataValidation allowBlank="1" showInputMessage="1" showErrorMessage="1" error="Any incorrecte" sqref="H16:H65" xr:uid="{00000000-0002-0000-0300-000001000000}"/>
    <dataValidation type="whole" operator="greaterThanOrEqual" allowBlank="1" showInputMessage="1" showErrorMessage="1" sqref="I16:I65" xr:uid="{00000000-0002-0000-0300-000002000000}">
      <formula1>0</formula1>
    </dataValidation>
  </dataValidations>
  <hyperlinks>
    <hyperlink ref="A5" location="'2.1 Absorciones árboles'!A1" display="2.1. Cápsula 1.1: Absorciones de los árboles" xr:uid="{00000000-0004-0000-0300-000000000000}"/>
    <hyperlink ref="A7" location="'2.3 Emisiones maquinaria'!A1" display="2.3. Cápsula 2.2: Emisiones de vehículos y maquinaria" xr:uid="{00000000-0004-0000-0300-000001000000}"/>
    <hyperlink ref="A8" location="'2.4 Emisiones quema restos'!A1" display="2.4. Cápsula 2.3: Emisiones de CH4 y N2O por quema" xr:uid="{00000000-0004-0000-0300-000002000000}"/>
    <hyperlink ref="A9" location="'2.5 Emisiones productos'!A1" display="2.5. Cápsula 2.4: Emisiones de los productos madereros" xr:uid="{00000000-0004-0000-0300-000003000000}"/>
    <hyperlink ref="A10" location="'3. Resultados'!A1" display="3. Resultados de absorciones del proyecto" xr:uid="{00000000-0004-0000-0300-000004000000}"/>
    <hyperlink ref="A6" location="'2.2 Emisiones restos corta'!A1" display="2.2. Cápsula 2.1: Emisiones de CO2 por descomposición y quema" xr:uid="{00000000-0004-0000-0300-000005000000}"/>
    <hyperlink ref="A4" location="'1. Datos generales del proyecto'!A1" display="1. Datos del proyecto" xr:uid="{00000000-0004-0000-0300-000006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MA64"/>
  <sheetViews>
    <sheetView zoomScale="90" zoomScaleNormal="90" workbookViewId="0">
      <pane xSplit="1" topLeftCell="B1" activePane="topRight" state="frozen"/>
      <selection activeCell="C1" sqref="C1:M1"/>
      <selection pane="topRight" activeCell="G9" sqref="G9"/>
    </sheetView>
  </sheetViews>
  <sheetFormatPr baseColWidth="10" defaultColWidth="9.140625" defaultRowHeight="15" x14ac:dyDescent="0.25"/>
  <cols>
    <col min="1" max="1" width="55.7109375" style="8" customWidth="1"/>
    <col min="2" max="2" width="1.7109375" style="2" customWidth="1"/>
    <col min="3" max="3" width="1" style="2" customWidth="1"/>
    <col min="4" max="4" width="1.42578125" style="6" customWidth="1"/>
    <col min="5" max="5" width="24.7109375" style="6" customWidth="1"/>
    <col min="6" max="6" width="39" style="6" customWidth="1"/>
    <col min="7" max="7" width="28.7109375" style="6" customWidth="1"/>
    <col min="8" max="8" width="14.85546875" style="6" customWidth="1"/>
    <col min="9" max="12" width="20.7109375" style="6" customWidth="1"/>
    <col min="13" max="13" width="3.85546875" style="6" customWidth="1"/>
    <col min="14" max="1015" width="9.140625" style="6"/>
  </cols>
  <sheetData>
    <row r="1" spans="1:13" ht="40.700000000000003" customHeight="1" x14ac:dyDescent="0.25">
      <c r="B1" s="3"/>
      <c r="C1" s="295" t="s">
        <v>135</v>
      </c>
      <c r="D1" s="295"/>
      <c r="E1" s="295"/>
      <c r="F1" s="295"/>
      <c r="G1" s="295"/>
      <c r="H1" s="295"/>
      <c r="I1" s="295"/>
      <c r="J1" s="295"/>
      <c r="K1" s="295"/>
      <c r="L1" s="295"/>
      <c r="M1" s="295"/>
    </row>
    <row r="2" spans="1:13" ht="40.700000000000003" customHeight="1" x14ac:dyDescent="0.25">
      <c r="B2" s="3"/>
    </row>
    <row r="3" spans="1:13" ht="16.5" customHeight="1" x14ac:dyDescent="0.25">
      <c r="A3" s="5"/>
      <c r="B3" s="4"/>
      <c r="E3" s="341" t="s">
        <v>125</v>
      </c>
      <c r="F3" s="341"/>
      <c r="G3" s="341"/>
      <c r="H3" s="341"/>
      <c r="I3" s="341"/>
      <c r="J3" s="341"/>
      <c r="K3" s="341"/>
      <c r="L3" s="341"/>
    </row>
    <row r="4" spans="1:13" ht="20.25" customHeight="1" x14ac:dyDescent="0.3">
      <c r="A4" s="144" t="s">
        <v>85</v>
      </c>
      <c r="B4" s="4"/>
      <c r="E4" s="341"/>
      <c r="F4" s="341"/>
      <c r="G4" s="341"/>
      <c r="H4" s="341"/>
      <c r="I4" s="341"/>
      <c r="J4" s="341"/>
      <c r="K4" s="341"/>
      <c r="L4" s="341"/>
    </row>
    <row r="5" spans="1:13" ht="16.5" customHeight="1" x14ac:dyDescent="0.3">
      <c r="A5" s="144" t="s">
        <v>86</v>
      </c>
      <c r="B5" s="4"/>
      <c r="E5" s="9"/>
      <c r="H5" s="10"/>
      <c r="I5" s="10"/>
      <c r="J5" s="10"/>
      <c r="K5" s="10"/>
      <c r="L5" s="10"/>
    </row>
    <row r="6" spans="1:13" ht="18.75" customHeight="1" thickBot="1" x14ac:dyDescent="0.4">
      <c r="A6" s="144" t="s">
        <v>266</v>
      </c>
      <c r="B6" s="4"/>
      <c r="C6" s="11"/>
    </row>
    <row r="7" spans="1:13" ht="16.5" customHeight="1" x14ac:dyDescent="0.3">
      <c r="A7" s="144" t="s">
        <v>87</v>
      </c>
      <c r="B7" s="4"/>
      <c r="E7" s="315" t="s">
        <v>67</v>
      </c>
      <c r="F7" s="312" t="s">
        <v>126</v>
      </c>
      <c r="G7" s="312" t="s">
        <v>127</v>
      </c>
      <c r="H7" s="312"/>
      <c r="I7" s="312" t="s">
        <v>130</v>
      </c>
      <c r="J7" s="312" t="s">
        <v>131</v>
      </c>
      <c r="K7" s="312" t="s">
        <v>132</v>
      </c>
      <c r="L7" s="319" t="s">
        <v>133</v>
      </c>
    </row>
    <row r="8" spans="1:13" ht="21.75" customHeight="1" thickBot="1" x14ac:dyDescent="0.4">
      <c r="A8" s="144" t="s">
        <v>267</v>
      </c>
      <c r="E8" s="320"/>
      <c r="F8" s="313"/>
      <c r="G8" s="211" t="s">
        <v>128</v>
      </c>
      <c r="H8" s="211" t="s">
        <v>129</v>
      </c>
      <c r="I8" s="313"/>
      <c r="J8" s="313"/>
      <c r="K8" s="313"/>
      <c r="L8" s="342"/>
    </row>
    <row r="9" spans="1:13" ht="16.5" customHeight="1" x14ac:dyDescent="0.3">
      <c r="A9" s="144" t="s">
        <v>88</v>
      </c>
      <c r="E9" s="315" t="str">
        <f>IF(('1. Datos generales del proyecto'!D31)="","",('1. Datos generales del proyecto'!D31))</f>
        <v/>
      </c>
      <c r="F9" s="173"/>
      <c r="G9" s="203"/>
      <c r="H9" s="98" t="str">
        <f>IFERROR((VLOOKUP(F9,Dades_PA!$A$77:$G$94,7,FALSE)),"")</f>
        <v/>
      </c>
      <c r="I9" s="115" t="str">
        <f>IFERROR(((VLOOKUP(F9,Dades_PA!$A$77:$G$94,2,FALSE))*G9),"")</f>
        <v/>
      </c>
      <c r="J9" s="116" t="str">
        <f>IFERROR(((VLOOKUP(F9,Dades_PA!$A$77:$G$94,3,FALSE))*G9)*1000,"")</f>
        <v/>
      </c>
      <c r="K9" s="116" t="str">
        <f>IFERROR(((VLOOKUP(F9,Dades_PA!$A$77:$G$94,4,FALSE))*G9)*1000,"")</f>
        <v/>
      </c>
      <c r="L9" s="117" t="str">
        <f>IFERROR(((I9+(J9*Dades_PA!$B$135/1000)+(K9*Dades_PA!$B$136/1000))),"")</f>
        <v/>
      </c>
    </row>
    <row r="10" spans="1:13" s="8" customFormat="1" ht="20.100000000000001" customHeight="1" x14ac:dyDescent="0.3">
      <c r="A10" s="144" t="s">
        <v>89</v>
      </c>
      <c r="B10" s="2"/>
      <c r="C10" s="2"/>
      <c r="D10" s="6"/>
      <c r="E10" s="316"/>
      <c r="F10" s="174"/>
      <c r="G10" s="204"/>
      <c r="H10" s="99" t="str">
        <f>IFERROR((VLOOKUP(F10,Dades_PA!$A$77:$G$94,7,FALSE)),"")</f>
        <v/>
      </c>
      <c r="I10" s="118" t="str">
        <f>IFERROR(((VLOOKUP(F10,Dades_PA!$A$77:$G$94,2,FALSE))*G10),"")</f>
        <v/>
      </c>
      <c r="J10" s="119" t="str">
        <f>IFERROR(((VLOOKUP(F10,Dades_PA!$A$77:$G$94,3,FALSE))*G10)*1000,"")</f>
        <v/>
      </c>
      <c r="K10" s="119" t="str">
        <f>IFERROR(((VLOOKUP(F10,Dades_PA!$A$77:$G$94,4,FALSE))*G10)*1000,"")</f>
        <v/>
      </c>
      <c r="L10" s="120" t="str">
        <f>IFERROR(((I10+(J10*Dades_PA!$B$135/1000)+(K10*Dades_PA!$B$136/1000))),"")</f>
        <v/>
      </c>
    </row>
    <row r="11" spans="1:13" ht="17.25" customHeight="1" x14ac:dyDescent="0.3">
      <c r="A11" s="5"/>
      <c r="E11" s="316"/>
      <c r="F11" s="174"/>
      <c r="G11" s="204"/>
      <c r="H11" s="99" t="str">
        <f>IFERROR((VLOOKUP(F11,Dades_PA!$A$77:$G$94,7,FALSE)),"")</f>
        <v/>
      </c>
      <c r="I11" s="118" t="str">
        <f>IFERROR(((VLOOKUP(F11,Dades_PA!$A$77:$G$94,2,FALSE))*G11),"")</f>
        <v/>
      </c>
      <c r="J11" s="119" t="str">
        <f>IFERROR(((VLOOKUP(F11,Dades_PA!$A$77:$G$94,3,FALSE))*G11)*1000,"")</f>
        <v/>
      </c>
      <c r="K11" s="119" t="str">
        <f>IFERROR(((VLOOKUP(F11,Dades_PA!$A$77:$G$94,4,FALSE))*G11)*1000,"")</f>
        <v/>
      </c>
      <c r="L11" s="120" t="str">
        <f>IFERROR(((I11+(J11*Dades_PA!$B$135/1000)+(K11*Dades_PA!$B$136/1000))),"")</f>
        <v/>
      </c>
    </row>
    <row r="12" spans="1:13" ht="17.25" customHeight="1" x14ac:dyDescent="0.3">
      <c r="A12" s="5"/>
      <c r="E12" s="316"/>
      <c r="F12" s="174"/>
      <c r="G12" s="204"/>
      <c r="H12" s="99" t="str">
        <f>IFERROR((VLOOKUP(F12,Dades_PA!$A$77:$G$94,7,FALSE)),"")</f>
        <v/>
      </c>
      <c r="I12" s="118" t="str">
        <f>IFERROR(((VLOOKUP(F12,Dades_PA!$A$77:$G$94,2,FALSE))*G12),"")</f>
        <v/>
      </c>
      <c r="J12" s="119" t="str">
        <f>IFERROR(((VLOOKUP(F12,Dades_PA!$A$77:$G$94,3,FALSE))*G12)*1000,"")</f>
        <v/>
      </c>
      <c r="K12" s="119" t="str">
        <f>IFERROR(((VLOOKUP(F12,Dades_PA!$A$77:$G$94,4,FALSE))*G12)*1000,"")</f>
        <v/>
      </c>
      <c r="L12" s="120" t="str">
        <f>IFERROR(((I12+(J12*Dades_PA!$B$135/1000)+(K12*Dades_PA!$B$136/1000))),"")</f>
        <v/>
      </c>
    </row>
    <row r="13" spans="1:13" ht="17.25" customHeight="1" x14ac:dyDescent="0.3">
      <c r="A13" s="5"/>
      <c r="E13" s="316"/>
      <c r="F13" s="174"/>
      <c r="G13" s="204"/>
      <c r="H13" s="99" t="str">
        <f>IFERROR((VLOOKUP(F13,Dades_PA!$A$77:$G$94,7,FALSE)),"")</f>
        <v/>
      </c>
      <c r="I13" s="118" t="str">
        <f>IFERROR(((VLOOKUP(F13,Dades_PA!$A$77:$G$94,2,FALSE))*G13),"")</f>
        <v/>
      </c>
      <c r="J13" s="119" t="str">
        <f>IFERROR(((VLOOKUP(F13,Dades_PA!$A$77:$G$94,3,FALSE))*G13)*1000,"")</f>
        <v/>
      </c>
      <c r="K13" s="119" t="str">
        <f>IFERROR(((VLOOKUP(F13,Dades_PA!$A$77:$G$94,4,FALSE))*G13)*1000,"")</f>
        <v/>
      </c>
      <c r="L13" s="120" t="str">
        <f>IFERROR(((I13+(J13*Dades_PA!$B$135/1000)+(K13*Dades_PA!$B$136/1000))),"")</f>
        <v/>
      </c>
    </row>
    <row r="14" spans="1:13" ht="16.5" x14ac:dyDescent="0.3">
      <c r="E14" s="316"/>
      <c r="F14" s="174"/>
      <c r="G14" s="204"/>
      <c r="H14" s="99" t="str">
        <f>IFERROR((VLOOKUP(F14,Dades_PA!$A$77:$G$94,7,FALSE)),"")</f>
        <v/>
      </c>
      <c r="I14" s="118" t="str">
        <f>IFERROR(((VLOOKUP(F14,Dades_PA!$A$77:$G$94,2,FALSE))*G14),"")</f>
        <v/>
      </c>
      <c r="J14" s="119" t="str">
        <f>IFERROR(((VLOOKUP(F14,Dades_PA!$A$77:$G$94,3,FALSE))*G14)*1000,"")</f>
        <v/>
      </c>
      <c r="K14" s="119" t="str">
        <f>IFERROR(((VLOOKUP(F14,Dades_PA!$A$77:$G$94,4,FALSE))*G14)*1000,"")</f>
        <v/>
      </c>
      <c r="L14" s="120" t="str">
        <f>IFERROR(((I14+(J14*Dades_PA!$B$135/1000)+(K14*Dades_PA!$B$136/1000))),"")</f>
        <v/>
      </c>
    </row>
    <row r="15" spans="1:13" ht="16.5" x14ac:dyDescent="0.3">
      <c r="E15" s="316"/>
      <c r="F15" s="174"/>
      <c r="G15" s="204"/>
      <c r="H15" s="99" t="str">
        <f>IFERROR((VLOOKUP(F15,Dades_PA!$A$77:$G$94,7,FALSE)),"")</f>
        <v/>
      </c>
      <c r="I15" s="118" t="str">
        <f>IFERROR(((VLOOKUP(F15,Dades_PA!$A$77:$G$94,2,FALSE))*G15),"")</f>
        <v/>
      </c>
      <c r="J15" s="119" t="str">
        <f>IFERROR(((VLOOKUP(F15,Dades_PA!$A$77:$G$94,3,FALSE))*G15)*1000,"")</f>
        <v/>
      </c>
      <c r="K15" s="119" t="str">
        <f>IFERROR(((VLOOKUP(F15,Dades_PA!$A$77:$G$94,4,FALSE))*G15)*1000,"")</f>
        <v/>
      </c>
      <c r="L15" s="120" t="str">
        <f>IFERROR(((I15+(J15*Dades_PA!$B$135/1000)+(K15*Dades_PA!$B$136/1000))),"")</f>
        <v/>
      </c>
    </row>
    <row r="16" spans="1:13" ht="16.5" x14ac:dyDescent="0.3">
      <c r="E16" s="316"/>
      <c r="F16" s="174"/>
      <c r="G16" s="204"/>
      <c r="H16" s="99" t="str">
        <f>IFERROR((VLOOKUP(F16,Dades_PA!$A$77:$G$94,7,FALSE)),"")</f>
        <v/>
      </c>
      <c r="I16" s="118" t="str">
        <f>IFERROR(((VLOOKUP(F16,Dades_PA!$A$77:$G$94,2,FALSE))*G16),"")</f>
        <v/>
      </c>
      <c r="J16" s="119" t="str">
        <f>IFERROR(((VLOOKUP(F16,Dades_PA!$A$77:$G$94,3,FALSE))*G16)*1000,"")</f>
        <v/>
      </c>
      <c r="K16" s="119" t="str">
        <f>IFERROR(((VLOOKUP(F16,Dades_PA!$A$77:$G$94,4,FALSE))*G16)*1000,"")</f>
        <v/>
      </c>
      <c r="L16" s="120" t="str">
        <f>IFERROR(((I16+(J16*Dades_PA!$B$135/1000)+(K16*Dades_PA!$B$136/1000))),"")</f>
        <v/>
      </c>
    </row>
    <row r="17" spans="5:12" ht="16.5" x14ac:dyDescent="0.3">
      <c r="E17" s="316"/>
      <c r="F17" s="174"/>
      <c r="G17" s="204"/>
      <c r="H17" s="99" t="str">
        <f>IFERROR((VLOOKUP(F17,Dades_PA!$A$77:$G$94,7,FALSE)),"")</f>
        <v/>
      </c>
      <c r="I17" s="118" t="str">
        <f>IFERROR(((VLOOKUP(F17,Dades_PA!$A$77:$G$94,2,FALSE))*G17),"")</f>
        <v/>
      </c>
      <c r="J17" s="119" t="str">
        <f>IFERROR(((VLOOKUP(F17,Dades_PA!$A$77:$G$94,3,FALSE))*G17)*1000,"")</f>
        <v/>
      </c>
      <c r="K17" s="119" t="str">
        <f>IFERROR(((VLOOKUP(F17,Dades_PA!$A$77:$G$94,4,FALSE))*G17)*1000,"")</f>
        <v/>
      </c>
      <c r="L17" s="120" t="str">
        <f>IFERROR(((I17+(J17*Dades_PA!$B$135/1000)+(K17*Dades_PA!$B$136/1000))),"")</f>
        <v/>
      </c>
    </row>
    <row r="18" spans="5:12" ht="17.25" thickBot="1" x14ac:dyDescent="0.35">
      <c r="E18" s="317"/>
      <c r="F18" s="175"/>
      <c r="G18" s="205"/>
      <c r="H18" s="100" t="str">
        <f>IFERROR((VLOOKUP(F18,Dades_PA!$A$77:$G$94,7,FALSE)),"")</f>
        <v/>
      </c>
      <c r="I18" s="121" t="str">
        <f>IFERROR(((VLOOKUP(F18,Dades_PA!$A$77:$G$94,2,FALSE))*G18),"")</f>
        <v/>
      </c>
      <c r="J18" s="122" t="str">
        <f>IFERROR(((VLOOKUP(F18,Dades_PA!$A$77:$G$94,3,FALSE))*G18)*1000,"")</f>
        <v/>
      </c>
      <c r="K18" s="122" t="str">
        <f>IFERROR(((VLOOKUP(F18,Dades_PA!$A$77:$G$94,4,FALSE))*G18)*1000,"")</f>
        <v/>
      </c>
      <c r="L18" s="123" t="str">
        <f>IFERROR(((I18+(J18*Dades_PA!$B$135/1000)+(K18*Dades_PA!$B$136/1000))),"")</f>
        <v/>
      </c>
    </row>
    <row r="19" spans="5:12" ht="16.5" x14ac:dyDescent="0.3">
      <c r="E19" s="315" t="str">
        <f>IF(('1. Datos generales del proyecto'!D32)="","",('1. Datos generales del proyecto'!D32))</f>
        <v/>
      </c>
      <c r="F19" s="173"/>
      <c r="G19" s="203"/>
      <c r="H19" s="98" t="str">
        <f>IFERROR((VLOOKUP(F19,Dades_PA!$A$77:$G$94,7,FALSE)),"")</f>
        <v/>
      </c>
      <c r="I19" s="115" t="str">
        <f>IFERROR(((VLOOKUP(F19,Dades_PA!$A$77:$G$94,2,FALSE))*G19),"")</f>
        <v/>
      </c>
      <c r="J19" s="116" t="str">
        <f>IFERROR(((VLOOKUP(F19,Dades_PA!$A$77:$G$94,3,FALSE))*G19)*1000,"")</f>
        <v/>
      </c>
      <c r="K19" s="116" t="str">
        <f>IFERROR(((VLOOKUP(F19,Dades_PA!$A$77:$G$94,4,FALSE))*G19)*1000,"")</f>
        <v/>
      </c>
      <c r="L19" s="117" t="str">
        <f>IFERROR(((I19+(J19*Dades_PA!$B$135/1000)+(K19*Dades_PA!$B$136/1000))),"")</f>
        <v/>
      </c>
    </row>
    <row r="20" spans="5:12" ht="16.5" x14ac:dyDescent="0.3">
      <c r="E20" s="316"/>
      <c r="F20" s="174"/>
      <c r="G20" s="204"/>
      <c r="H20" s="99" t="str">
        <f>IFERROR((VLOOKUP(F20,Dades_PA!$A$77:$G$94,7,FALSE)),"")</f>
        <v/>
      </c>
      <c r="I20" s="118" t="str">
        <f>IFERROR(((VLOOKUP(F20,Dades_PA!$A$77:$G$94,2,FALSE))*G20),"")</f>
        <v/>
      </c>
      <c r="J20" s="119" t="str">
        <f>IFERROR(((VLOOKUP(F20,Dades_PA!$A$77:$G$94,3,FALSE))*G20)*1000,"")</f>
        <v/>
      </c>
      <c r="K20" s="119" t="str">
        <f>IFERROR(((VLOOKUP(F20,Dades_PA!$A$77:$G$94,4,FALSE))*G20)*1000,"")</f>
        <v/>
      </c>
      <c r="L20" s="120" t="str">
        <f>IFERROR(((I20+(J20*Dades_PA!$B$135/1000)+(K20*Dades_PA!$B$136/1000))),"")</f>
        <v/>
      </c>
    </row>
    <row r="21" spans="5:12" ht="16.5" x14ac:dyDescent="0.3">
      <c r="E21" s="316"/>
      <c r="F21" s="174"/>
      <c r="G21" s="204"/>
      <c r="H21" s="99" t="str">
        <f>IFERROR((VLOOKUP(F21,Dades_PA!$A$77:$G$94,7,FALSE)),"")</f>
        <v/>
      </c>
      <c r="I21" s="118" t="str">
        <f>IFERROR(((VLOOKUP(F21,Dades_PA!$A$77:$G$94,2,FALSE))*G21),"")</f>
        <v/>
      </c>
      <c r="J21" s="119" t="str">
        <f>IFERROR(((VLOOKUP(F21,Dades_PA!$A$77:$G$94,3,FALSE))*G21)*1000,"")</f>
        <v/>
      </c>
      <c r="K21" s="119" t="str">
        <f>IFERROR(((VLOOKUP(F21,Dades_PA!$A$77:$G$94,4,FALSE))*G21)*1000,"")</f>
        <v/>
      </c>
      <c r="L21" s="120" t="str">
        <f>IFERROR(((I21+(J21*Dades_PA!$B$135/1000)+(K21*Dades_PA!$B$136/1000))),"")</f>
        <v/>
      </c>
    </row>
    <row r="22" spans="5:12" ht="16.5" x14ac:dyDescent="0.3">
      <c r="E22" s="316"/>
      <c r="F22" s="174"/>
      <c r="G22" s="204"/>
      <c r="H22" s="99" t="str">
        <f>IFERROR((VLOOKUP(F22,Dades_PA!$A$77:$G$94,7,FALSE)),"")</f>
        <v/>
      </c>
      <c r="I22" s="118" t="str">
        <f>IFERROR(((VLOOKUP(F22,Dades_PA!$A$77:$G$94,2,FALSE))*G22),"")</f>
        <v/>
      </c>
      <c r="J22" s="119" t="str">
        <f>IFERROR(((VLOOKUP(F22,Dades_PA!$A$77:$G$94,3,FALSE))*G22)*1000,"")</f>
        <v/>
      </c>
      <c r="K22" s="119" t="str">
        <f>IFERROR(((VLOOKUP(F22,Dades_PA!$A$77:$G$94,4,FALSE))*G22)*1000,"")</f>
        <v/>
      </c>
      <c r="L22" s="120" t="str">
        <f>IFERROR(((I22+(J22*Dades_PA!$B$135/1000)+(K22*Dades_PA!$B$136/1000))),"")</f>
        <v/>
      </c>
    </row>
    <row r="23" spans="5:12" ht="16.5" x14ac:dyDescent="0.3">
      <c r="E23" s="316"/>
      <c r="F23" s="174"/>
      <c r="G23" s="204"/>
      <c r="H23" s="99" t="str">
        <f>IFERROR((VLOOKUP(F23,Dades_PA!$A$77:$G$94,7,FALSE)),"")</f>
        <v/>
      </c>
      <c r="I23" s="118" t="str">
        <f>IFERROR(((VLOOKUP(F23,Dades_PA!$A$77:$G$94,2,FALSE))*G23),"")</f>
        <v/>
      </c>
      <c r="J23" s="119" t="str">
        <f>IFERROR(((VLOOKUP(F23,Dades_PA!$A$77:$G$94,3,FALSE))*G23)*1000,"")</f>
        <v/>
      </c>
      <c r="K23" s="119" t="str">
        <f>IFERROR(((VLOOKUP(F23,Dades_PA!$A$77:$G$94,4,FALSE))*G23)*1000,"")</f>
        <v/>
      </c>
      <c r="L23" s="120" t="str">
        <f>IFERROR(((I23+(J23*Dades_PA!$B$135/1000)+(K23*Dades_PA!$B$136/1000))),"")</f>
        <v/>
      </c>
    </row>
    <row r="24" spans="5:12" ht="16.5" x14ac:dyDescent="0.3">
      <c r="E24" s="316"/>
      <c r="F24" s="174"/>
      <c r="G24" s="204"/>
      <c r="H24" s="99" t="str">
        <f>IFERROR((VLOOKUP(F24,Dades_PA!$A$77:$G$94,7,FALSE)),"")</f>
        <v/>
      </c>
      <c r="I24" s="118" t="str">
        <f>IFERROR(((VLOOKUP(F24,Dades_PA!$A$77:$G$94,2,FALSE))*G24),"")</f>
        <v/>
      </c>
      <c r="J24" s="119" t="str">
        <f>IFERROR(((VLOOKUP(F24,Dades_PA!$A$77:$G$94,3,FALSE))*G24)*1000,"")</f>
        <v/>
      </c>
      <c r="K24" s="119" t="str">
        <f>IFERROR(((VLOOKUP(F24,Dades_PA!$A$77:$G$94,4,FALSE))*G24)*1000,"")</f>
        <v/>
      </c>
      <c r="L24" s="120" t="str">
        <f>IFERROR(((I24+(J24*Dades_PA!$B$135/1000)+(K24*Dades_PA!$B$136/1000))),"")</f>
        <v/>
      </c>
    </row>
    <row r="25" spans="5:12" ht="16.5" x14ac:dyDescent="0.3">
      <c r="E25" s="316"/>
      <c r="F25" s="174"/>
      <c r="G25" s="204"/>
      <c r="H25" s="99" t="str">
        <f>IFERROR((VLOOKUP(F25,Dades_PA!$A$77:$G$94,7,FALSE)),"")</f>
        <v/>
      </c>
      <c r="I25" s="118" t="str">
        <f>IFERROR(((VLOOKUP(F25,Dades_PA!$A$77:$G$94,2,FALSE))*G25),"")</f>
        <v/>
      </c>
      <c r="J25" s="119" t="str">
        <f>IFERROR(((VLOOKUP(F25,Dades_PA!$A$77:$G$94,3,FALSE))*G25)*1000,"")</f>
        <v/>
      </c>
      <c r="K25" s="119" t="str">
        <f>IFERROR(((VLOOKUP(F25,Dades_PA!$A$77:$G$94,4,FALSE))*G25)*1000,"")</f>
        <v/>
      </c>
      <c r="L25" s="120" t="str">
        <f>IFERROR(((I25+(J25*Dades_PA!$B$135/1000)+(K25*Dades_PA!$B$136/1000))),"")</f>
        <v/>
      </c>
    </row>
    <row r="26" spans="5:12" ht="16.5" x14ac:dyDescent="0.3">
      <c r="E26" s="316"/>
      <c r="F26" s="174"/>
      <c r="G26" s="204"/>
      <c r="H26" s="99" t="str">
        <f>IFERROR((VLOOKUP(F26,Dades_PA!$A$77:$G$94,7,FALSE)),"")</f>
        <v/>
      </c>
      <c r="I26" s="118" t="str">
        <f>IFERROR(((VLOOKUP(F26,Dades_PA!$A$77:$G$94,2,FALSE))*G26),"")</f>
        <v/>
      </c>
      <c r="J26" s="119" t="str">
        <f>IFERROR(((VLOOKUP(F26,Dades_PA!$A$77:$G$94,3,FALSE))*G26)*1000,"")</f>
        <v/>
      </c>
      <c r="K26" s="119" t="str">
        <f>IFERROR(((VLOOKUP(F26,Dades_PA!$A$77:$G$94,4,FALSE))*G26)*1000,"")</f>
        <v/>
      </c>
      <c r="L26" s="120" t="str">
        <f>IFERROR(((I26+(J26*Dades_PA!$B$135/1000)+(K26*Dades_PA!$B$136/1000))),"")</f>
        <v/>
      </c>
    </row>
    <row r="27" spans="5:12" ht="16.5" x14ac:dyDescent="0.3">
      <c r="E27" s="316"/>
      <c r="F27" s="174"/>
      <c r="G27" s="204"/>
      <c r="H27" s="99" t="str">
        <f>IFERROR((VLOOKUP(F27,Dades_PA!$A$77:$G$94,7,FALSE)),"")</f>
        <v/>
      </c>
      <c r="I27" s="118" t="str">
        <f>IFERROR(((VLOOKUP(F27,Dades_PA!$A$77:$G$94,2,FALSE))*G27),"")</f>
        <v/>
      </c>
      <c r="J27" s="119" t="str">
        <f>IFERROR(((VLOOKUP(F27,Dades_PA!$A$77:$G$94,3,FALSE))*G27)*1000,"")</f>
        <v/>
      </c>
      <c r="K27" s="119" t="str">
        <f>IFERROR(((VLOOKUP(F27,Dades_PA!$A$77:$G$94,4,FALSE))*G27)*1000,"")</f>
        <v/>
      </c>
      <c r="L27" s="120" t="str">
        <f>IFERROR(((I27+(J27*Dades_PA!$B$135/1000)+(K27*Dades_PA!$B$136/1000))),"")</f>
        <v/>
      </c>
    </row>
    <row r="28" spans="5:12" ht="17.25" thickBot="1" x14ac:dyDescent="0.35">
      <c r="E28" s="317"/>
      <c r="F28" s="175"/>
      <c r="G28" s="205"/>
      <c r="H28" s="100" t="str">
        <f>IFERROR((VLOOKUP(F28,Dades_PA!$A$77:$G$94,7,FALSE)),"")</f>
        <v/>
      </c>
      <c r="I28" s="121" t="str">
        <f>IFERROR(((VLOOKUP(F28,Dades_PA!$A$77:$G$94,2,FALSE))*G28),"")</f>
        <v/>
      </c>
      <c r="J28" s="122" t="str">
        <f>IFERROR(((VLOOKUP(F28,Dades_PA!$A$77:$G$94,3,FALSE))*G28)*1000,"")</f>
        <v/>
      </c>
      <c r="K28" s="122" t="str">
        <f>IFERROR(((VLOOKUP(F28,Dades_PA!$A$77:$G$94,4,FALSE))*G28)*1000,"")</f>
        <v/>
      </c>
      <c r="L28" s="123" t="str">
        <f>IFERROR(((I28+(J28*Dades_PA!$B$135/1000)+(K28*Dades_PA!$B$136/1000))),"")</f>
        <v/>
      </c>
    </row>
    <row r="29" spans="5:12" ht="16.5" x14ac:dyDescent="0.3">
      <c r="E29" s="315" t="str">
        <f>IF(('1. Datos generales del proyecto'!D33)="","",('1. Datos generales del proyecto'!D33))</f>
        <v/>
      </c>
      <c r="F29" s="173"/>
      <c r="G29" s="203"/>
      <c r="H29" s="98" t="str">
        <f>IFERROR((VLOOKUP(F29,Dades_PA!$A$77:$G$94,7,FALSE)),"")</f>
        <v/>
      </c>
      <c r="I29" s="115" t="str">
        <f>IFERROR(((VLOOKUP(F29,Dades_PA!$A$77:$G$94,2,FALSE))*G29),"")</f>
        <v/>
      </c>
      <c r="J29" s="116" t="str">
        <f>IFERROR(((VLOOKUP(F29,Dades_PA!$A$77:$G$94,3,FALSE))*G29)*1000,"")</f>
        <v/>
      </c>
      <c r="K29" s="116" t="str">
        <f>IFERROR(((VLOOKUP(F29,Dades_PA!$A$77:$G$94,4,FALSE))*G29)*1000,"")</f>
        <v/>
      </c>
      <c r="L29" s="117" t="str">
        <f>IFERROR(((I29+(J29*Dades_PA!$B$135/1000)+(K29*Dades_PA!$B$136/1000))),"")</f>
        <v/>
      </c>
    </row>
    <row r="30" spans="5:12" ht="16.5" x14ac:dyDescent="0.3">
      <c r="E30" s="316"/>
      <c r="F30" s="174"/>
      <c r="G30" s="204"/>
      <c r="H30" s="99" t="str">
        <f>IFERROR((VLOOKUP(F30,Dades_PA!$A$77:$G$94,7,FALSE)),"")</f>
        <v/>
      </c>
      <c r="I30" s="118" t="str">
        <f>IFERROR(((VLOOKUP(F30,Dades_PA!$A$77:$G$94,2,FALSE))*G30),"")</f>
        <v/>
      </c>
      <c r="J30" s="119" t="str">
        <f>IFERROR(((VLOOKUP(F30,Dades_PA!$A$77:$G$94,3,FALSE))*G30)*1000,"")</f>
        <v/>
      </c>
      <c r="K30" s="119" t="str">
        <f>IFERROR(((VLOOKUP(F30,Dades_PA!$A$77:$G$94,4,FALSE))*G30)*1000,"")</f>
        <v/>
      </c>
      <c r="L30" s="120" t="str">
        <f>IFERROR(((I30+(J30*Dades_PA!$B$135/1000)+(K30*Dades_PA!$B$136/1000))),"")</f>
        <v/>
      </c>
    </row>
    <row r="31" spans="5:12" ht="16.5" x14ac:dyDescent="0.3">
      <c r="E31" s="316"/>
      <c r="F31" s="174"/>
      <c r="G31" s="204"/>
      <c r="H31" s="99" t="str">
        <f>IFERROR((VLOOKUP(F31,Dades_PA!$A$77:$G$94,7,FALSE)),"")</f>
        <v/>
      </c>
      <c r="I31" s="118" t="str">
        <f>IFERROR(((VLOOKUP(F31,Dades_PA!$A$77:$G$94,2,FALSE))*G31),"")</f>
        <v/>
      </c>
      <c r="J31" s="119" t="str">
        <f>IFERROR(((VLOOKUP(F31,Dades_PA!$A$77:$G$94,3,FALSE))*G31)*1000,"")</f>
        <v/>
      </c>
      <c r="K31" s="119" t="str">
        <f>IFERROR(((VLOOKUP(F31,Dades_PA!$A$77:$G$94,4,FALSE))*G31)*1000,"")</f>
        <v/>
      </c>
      <c r="L31" s="120" t="str">
        <f>IFERROR(((I31+(J31*Dades_PA!$B$135/1000)+(K31*Dades_PA!$B$136/1000))),"")</f>
        <v/>
      </c>
    </row>
    <row r="32" spans="5:12" ht="16.5" x14ac:dyDescent="0.3">
      <c r="E32" s="316"/>
      <c r="F32" s="174"/>
      <c r="G32" s="204"/>
      <c r="H32" s="99" t="str">
        <f>IFERROR((VLOOKUP(F32,Dades_PA!$A$77:$G$94,7,FALSE)),"")</f>
        <v/>
      </c>
      <c r="I32" s="118" t="str">
        <f>IFERROR(((VLOOKUP(F32,Dades_PA!$A$77:$G$94,2,FALSE))*G32),"")</f>
        <v/>
      </c>
      <c r="J32" s="119" t="str">
        <f>IFERROR(((VLOOKUP(F32,Dades_PA!$A$77:$G$94,3,FALSE))*G32)*1000,"")</f>
        <v/>
      </c>
      <c r="K32" s="119" t="str">
        <f>IFERROR(((VLOOKUP(F32,Dades_PA!$A$77:$G$94,4,FALSE))*G32)*1000,"")</f>
        <v/>
      </c>
      <c r="L32" s="120" t="str">
        <f>IFERROR(((I32+(J32*Dades_PA!$B$135/1000)+(K32*Dades_PA!$B$136/1000))),"")</f>
        <v/>
      </c>
    </row>
    <row r="33" spans="5:12" ht="15" customHeight="1" x14ac:dyDescent="0.3">
      <c r="E33" s="316"/>
      <c r="F33" s="174"/>
      <c r="G33" s="204"/>
      <c r="H33" s="99" t="str">
        <f>IFERROR((VLOOKUP(F33,Dades_PA!$A$77:$G$94,7,FALSE)),"")</f>
        <v/>
      </c>
      <c r="I33" s="118" t="str">
        <f>IFERROR(((VLOOKUP(F33,Dades_PA!$A$77:$G$94,2,FALSE))*G33),"")</f>
        <v/>
      </c>
      <c r="J33" s="119" t="str">
        <f>IFERROR(((VLOOKUP(F33,Dades_PA!$A$77:$G$94,3,FALSE))*G33)*1000,"")</f>
        <v/>
      </c>
      <c r="K33" s="119" t="str">
        <f>IFERROR(((VLOOKUP(F33,Dades_PA!$A$77:$G$94,4,FALSE))*G33)*1000,"")</f>
        <v/>
      </c>
      <c r="L33" s="120" t="str">
        <f>IFERROR(((I33+(J33*Dades_PA!$B$135/1000)+(K33*Dades_PA!$B$136/1000))),"")</f>
        <v/>
      </c>
    </row>
    <row r="34" spans="5:12" ht="16.5" x14ac:dyDescent="0.3">
      <c r="E34" s="316"/>
      <c r="F34" s="174"/>
      <c r="G34" s="204"/>
      <c r="H34" s="99" t="str">
        <f>IFERROR((VLOOKUP(F34,Dades_PA!$A$77:$G$94,7,FALSE)),"")</f>
        <v/>
      </c>
      <c r="I34" s="118" t="str">
        <f>IFERROR(((VLOOKUP(F34,Dades_PA!$A$77:$G$94,2,FALSE))*G34),"")</f>
        <v/>
      </c>
      <c r="J34" s="119" t="str">
        <f>IFERROR(((VLOOKUP(F34,Dades_PA!$A$77:$G$94,3,FALSE))*G34)*1000,"")</f>
        <v/>
      </c>
      <c r="K34" s="119" t="str">
        <f>IFERROR(((VLOOKUP(F34,Dades_PA!$A$77:$G$94,4,FALSE))*G34)*1000,"")</f>
        <v/>
      </c>
      <c r="L34" s="120" t="str">
        <f>IFERROR(((I34+(J34*Dades_PA!$B$135/1000)+(K34*Dades_PA!$B$136/1000))),"")</f>
        <v/>
      </c>
    </row>
    <row r="35" spans="5:12" ht="16.5" x14ac:dyDescent="0.3">
      <c r="E35" s="316"/>
      <c r="F35" s="174"/>
      <c r="G35" s="206"/>
      <c r="H35" s="99" t="str">
        <f>IFERROR((VLOOKUP(F35,Dades_PA!$A$77:$G$94,7,FALSE)),"")</f>
        <v/>
      </c>
      <c r="I35" s="118" t="str">
        <f>IFERROR(((VLOOKUP(F35,Dades_PA!$A$77:$G$94,2,FALSE))*G35),"")</f>
        <v/>
      </c>
      <c r="J35" s="119" t="str">
        <f>IFERROR(((VLOOKUP(F35,Dades_PA!$A$77:$G$94,3,FALSE))*G35)*1000,"")</f>
        <v/>
      </c>
      <c r="K35" s="119" t="str">
        <f>IFERROR(((VLOOKUP(F35,Dades_PA!$A$77:$G$94,4,FALSE))*G35)*1000,"")</f>
        <v/>
      </c>
      <c r="L35" s="120" t="str">
        <f>IFERROR(((I35+(J35*Dades_PA!$B$135/1000)+(K35*Dades_PA!$B$136/1000))),"")</f>
        <v/>
      </c>
    </row>
    <row r="36" spans="5:12" ht="16.5" x14ac:dyDescent="0.3">
      <c r="E36" s="316"/>
      <c r="F36" s="174"/>
      <c r="G36" s="206"/>
      <c r="H36" s="99" t="str">
        <f>IFERROR((VLOOKUP(F36,Dades_PA!$A$77:$G$94,7,FALSE)),"")</f>
        <v/>
      </c>
      <c r="I36" s="118" t="str">
        <f>IFERROR(((VLOOKUP(F36,Dades_PA!$A$77:$G$94,2,FALSE))*G36),"")</f>
        <v/>
      </c>
      <c r="J36" s="119" t="str">
        <f>IFERROR(((VLOOKUP(F36,Dades_PA!$A$77:$G$94,3,FALSE))*G36)*1000,"")</f>
        <v/>
      </c>
      <c r="K36" s="119" t="str">
        <f>IFERROR(((VLOOKUP(F36,Dades_PA!$A$77:$G$94,4,FALSE))*G36)*1000,"")</f>
        <v/>
      </c>
      <c r="L36" s="120" t="str">
        <f>IFERROR(((I36+(J36*Dades_PA!$B$135/1000)+(K36*Dades_PA!$B$136/1000))),"")</f>
        <v/>
      </c>
    </row>
    <row r="37" spans="5:12" ht="16.5" x14ac:dyDescent="0.3">
      <c r="E37" s="316"/>
      <c r="F37" s="174"/>
      <c r="G37" s="204"/>
      <c r="H37" s="99" t="str">
        <f>IFERROR((VLOOKUP(F37,Dades_PA!$A$77:$G$94,7,FALSE)),"")</f>
        <v/>
      </c>
      <c r="I37" s="118" t="str">
        <f>IFERROR(((VLOOKUP(F37,Dades_PA!$A$77:$G$94,2,FALSE))*G37),"")</f>
        <v/>
      </c>
      <c r="J37" s="119" t="str">
        <f>IFERROR(((VLOOKUP(F37,Dades_PA!$A$77:$G$94,3,FALSE))*G37)*1000,"")</f>
        <v/>
      </c>
      <c r="K37" s="119" t="str">
        <f>IFERROR(((VLOOKUP(F37,Dades_PA!$A$77:$G$94,4,FALSE))*G37)*1000,"")</f>
        <v/>
      </c>
      <c r="L37" s="120" t="str">
        <f>IFERROR(((I37+(J37*Dades_PA!$B$135/1000)+(K37*Dades_PA!$B$136/1000))),"")</f>
        <v/>
      </c>
    </row>
    <row r="38" spans="5:12" ht="16.5" x14ac:dyDescent="0.3">
      <c r="E38" s="316"/>
      <c r="F38" s="174"/>
      <c r="G38" s="204"/>
      <c r="H38" s="99" t="str">
        <f>IFERROR((VLOOKUP(F38,Dades_PA!$A$77:$G$94,7,FALSE)),"")</f>
        <v/>
      </c>
      <c r="I38" s="118" t="str">
        <f>IFERROR(((VLOOKUP(F38,Dades_PA!$A$77:$G$94,2,FALSE))*G38),"")</f>
        <v/>
      </c>
      <c r="J38" s="119" t="str">
        <f>IFERROR(((VLOOKUP(F38,Dades_PA!$A$77:$G$94,3,FALSE))*G38)*1000,"")</f>
        <v/>
      </c>
      <c r="K38" s="119" t="str">
        <f>IFERROR(((VLOOKUP(F38,Dades_PA!$A$77:$G$94,4,FALSE))*G38)*1000,"")</f>
        <v/>
      </c>
      <c r="L38" s="120" t="str">
        <f>IFERROR(((I38+(J38*Dades_PA!$B$135/1000)+(K38*Dades_PA!$B$136/1000))),"")</f>
        <v/>
      </c>
    </row>
    <row r="39" spans="5:12" ht="17.25" thickBot="1" x14ac:dyDescent="0.35">
      <c r="E39" s="317"/>
      <c r="F39" s="175"/>
      <c r="G39" s="205"/>
      <c r="H39" s="100" t="str">
        <f>IFERROR((VLOOKUP(F39,Dades_PA!$A$77:$G$94,7,FALSE)),"")</f>
        <v/>
      </c>
      <c r="I39" s="121" t="str">
        <f>IFERROR(((VLOOKUP(F39,Dades_PA!$A$77:$G$94,2,FALSE))*G39),"")</f>
        <v/>
      </c>
      <c r="J39" s="122" t="str">
        <f>IFERROR(((VLOOKUP(F39,Dades_PA!$A$77:$G$94,3,FALSE))*G39)*1000,"")</f>
        <v/>
      </c>
      <c r="K39" s="122" t="str">
        <f>IFERROR(((VLOOKUP(F39,Dades_PA!$A$77:$G$94,4,FALSE))*G39)*1000,"")</f>
        <v/>
      </c>
      <c r="L39" s="123" t="str">
        <f>IFERROR(((I39+(J39*Dades_PA!$B$135/1000)+(K39*Dades_PA!$B$136/1000))),"")</f>
        <v/>
      </c>
    </row>
    <row r="40" spans="5:12" ht="16.5" x14ac:dyDescent="0.3">
      <c r="E40" s="315" t="str">
        <f>IF(('1. Datos generales del proyecto'!D34)="","",('1. Datos generales del proyecto'!D34))</f>
        <v/>
      </c>
      <c r="F40" s="173"/>
      <c r="G40" s="203"/>
      <c r="H40" s="98" t="str">
        <f>IFERROR((VLOOKUP(F40,Dades_PA!$A$77:$G$94,7,FALSE)),"")</f>
        <v/>
      </c>
      <c r="I40" s="115" t="str">
        <f>IFERROR(((VLOOKUP(F40,Dades_PA!$A$77:$G$94,2,FALSE))*G40),"")</f>
        <v/>
      </c>
      <c r="J40" s="116" t="str">
        <f>IFERROR(((VLOOKUP(F40,Dades_PA!$A$77:$G$94,3,FALSE))*G40)*1000,"")</f>
        <v/>
      </c>
      <c r="K40" s="116" t="str">
        <f>IFERROR(((VLOOKUP(F40,Dades_PA!$A$77:$G$94,4,FALSE))*G40)*1000,"")</f>
        <v/>
      </c>
      <c r="L40" s="117" t="str">
        <f>IFERROR(((I40+(J40*Dades_PA!$B$135/1000)+(K40*Dades_PA!$B$136/1000))),"")</f>
        <v/>
      </c>
    </row>
    <row r="41" spans="5:12" ht="16.5" x14ac:dyDescent="0.3">
      <c r="E41" s="316"/>
      <c r="F41" s="174"/>
      <c r="G41" s="204"/>
      <c r="H41" s="99" t="str">
        <f>IFERROR((VLOOKUP(F41,Dades_PA!$A$77:$G$94,7,FALSE)),"")</f>
        <v/>
      </c>
      <c r="I41" s="118" t="str">
        <f>IFERROR(((VLOOKUP(F41,Dades_PA!$A$77:$G$94,2,FALSE))*G41),"")</f>
        <v/>
      </c>
      <c r="J41" s="119" t="str">
        <f>IFERROR(((VLOOKUP(F41,Dades_PA!$A$77:$G$94,3,FALSE))*G41)*1000,"")</f>
        <v/>
      </c>
      <c r="K41" s="119" t="str">
        <f>IFERROR(((VLOOKUP(F41,Dades_PA!$A$77:$G$94,4,FALSE))*G41)*1000,"")</f>
        <v/>
      </c>
      <c r="L41" s="120" t="str">
        <f>IFERROR(((I41+(J41*Dades_PA!$B$135/1000)+(K41*Dades_PA!$B$136/1000))),"")</f>
        <v/>
      </c>
    </row>
    <row r="42" spans="5:12" ht="16.5" x14ac:dyDescent="0.3">
      <c r="E42" s="316"/>
      <c r="F42" s="174"/>
      <c r="G42" s="204"/>
      <c r="H42" s="99" t="str">
        <f>IFERROR((VLOOKUP(F42,Dades_PA!$A$77:$G$94,7,FALSE)),"")</f>
        <v/>
      </c>
      <c r="I42" s="118" t="str">
        <f>IFERROR(((VLOOKUP(F42,Dades_PA!$A$77:$G$94,2,FALSE))*G42),"")</f>
        <v/>
      </c>
      <c r="J42" s="119" t="str">
        <f>IFERROR(((VLOOKUP(F42,Dades_PA!$A$77:$G$94,3,FALSE))*G42)*1000,"")</f>
        <v/>
      </c>
      <c r="K42" s="119" t="str">
        <f>IFERROR(((VLOOKUP(F42,Dades_PA!$A$77:$G$94,4,FALSE))*G42)*1000,"")</f>
        <v/>
      </c>
      <c r="L42" s="120" t="str">
        <f>IFERROR(((I42+(J42*Dades_PA!$B$135/1000)+(K42*Dades_PA!$B$136/1000))),"")</f>
        <v/>
      </c>
    </row>
    <row r="43" spans="5:12" ht="16.5" x14ac:dyDescent="0.3">
      <c r="E43" s="316"/>
      <c r="F43" s="174"/>
      <c r="G43" s="204"/>
      <c r="H43" s="99" t="str">
        <f>IFERROR((VLOOKUP(F43,Dades_PA!$A$77:$G$94,7,FALSE)),"")</f>
        <v/>
      </c>
      <c r="I43" s="118" t="str">
        <f>IFERROR(((VLOOKUP(F43,Dades_PA!$A$77:$G$94,2,FALSE))*G43),"")</f>
        <v/>
      </c>
      <c r="J43" s="119" t="str">
        <f>IFERROR(((VLOOKUP(F43,Dades_PA!$A$77:$G$94,3,FALSE))*G43)*1000,"")</f>
        <v/>
      </c>
      <c r="K43" s="119" t="str">
        <f>IFERROR(((VLOOKUP(F43,Dades_PA!$A$77:$G$94,4,FALSE))*G43)*1000,"")</f>
        <v/>
      </c>
      <c r="L43" s="120" t="str">
        <f>IFERROR(((I43+(J43*Dades_PA!$B$135/1000)+(K43*Dades_PA!$B$136/1000))),"")</f>
        <v/>
      </c>
    </row>
    <row r="44" spans="5:12" ht="16.5" x14ac:dyDescent="0.3">
      <c r="E44" s="316"/>
      <c r="F44" s="174"/>
      <c r="G44" s="204"/>
      <c r="H44" s="99" t="str">
        <f>IFERROR((VLOOKUP(F44,Dades_PA!$A$77:$G$94,7,FALSE)),"")</f>
        <v/>
      </c>
      <c r="I44" s="118" t="str">
        <f>IFERROR(((VLOOKUP(F44,Dades_PA!$A$77:$G$94,2,FALSE))*G44),"")</f>
        <v/>
      </c>
      <c r="J44" s="119" t="str">
        <f>IFERROR(((VLOOKUP(F44,Dades_PA!$A$77:$G$94,3,FALSE))*G44)*1000,"")</f>
        <v/>
      </c>
      <c r="K44" s="119" t="str">
        <f>IFERROR(((VLOOKUP(F44,Dades_PA!$A$77:$G$94,4,FALSE))*G44)*1000,"")</f>
        <v/>
      </c>
      <c r="L44" s="120" t="str">
        <f>IFERROR(((I44+(J44*Dades_PA!$B$135/1000)+(K44*Dades_PA!$B$136/1000))),"")</f>
        <v/>
      </c>
    </row>
    <row r="45" spans="5:12" ht="16.5" x14ac:dyDescent="0.3">
      <c r="E45" s="316"/>
      <c r="F45" s="174"/>
      <c r="G45" s="204"/>
      <c r="H45" s="99" t="str">
        <f>IFERROR((VLOOKUP(F45,Dades_PA!$A$77:$G$94,7,FALSE)),"")</f>
        <v/>
      </c>
      <c r="I45" s="118" t="str">
        <f>IFERROR(((VLOOKUP(F45,Dades_PA!$A$77:$G$94,2,FALSE))*G45),"")</f>
        <v/>
      </c>
      <c r="J45" s="119" t="str">
        <f>IFERROR(((VLOOKUP(F45,Dades_PA!$A$77:$G$94,3,FALSE))*G45)*1000,"")</f>
        <v/>
      </c>
      <c r="K45" s="119" t="str">
        <f>IFERROR(((VLOOKUP(F45,Dades_PA!$A$77:$G$94,4,FALSE))*G45)*1000,"")</f>
        <v/>
      </c>
      <c r="L45" s="120" t="str">
        <f>IFERROR(((I45+(J45*Dades_PA!$B$135/1000)+(K45*Dades_PA!$B$136/1000))),"")</f>
        <v/>
      </c>
    </row>
    <row r="46" spans="5:12" ht="16.5" x14ac:dyDescent="0.3">
      <c r="E46" s="316"/>
      <c r="F46" s="174"/>
      <c r="G46" s="204"/>
      <c r="H46" s="99" t="str">
        <f>IFERROR((VLOOKUP(F46,Dades_PA!$A$77:$G$94,7,FALSE)),"")</f>
        <v/>
      </c>
      <c r="I46" s="118" t="str">
        <f>IFERROR(((VLOOKUP(F46,Dades_PA!$A$77:$G$94,2,FALSE))*G46),"")</f>
        <v/>
      </c>
      <c r="J46" s="119" t="str">
        <f>IFERROR(((VLOOKUP(F46,Dades_PA!$A$77:$G$94,3,FALSE))*G46)*1000,"")</f>
        <v/>
      </c>
      <c r="K46" s="119" t="str">
        <f>IFERROR(((VLOOKUP(F46,Dades_PA!$A$77:$G$94,4,FALSE))*G46)*1000,"")</f>
        <v/>
      </c>
      <c r="L46" s="120" t="str">
        <f>IFERROR(((I46+(J46*Dades_PA!$B$135/1000)+(K46*Dades_PA!$B$136/1000))),"")</f>
        <v/>
      </c>
    </row>
    <row r="47" spans="5:12" ht="16.5" x14ac:dyDescent="0.3">
      <c r="E47" s="316"/>
      <c r="F47" s="174"/>
      <c r="G47" s="204"/>
      <c r="H47" s="99" t="str">
        <f>IFERROR((VLOOKUP(F47,Dades_PA!$A$77:$G$94,7,FALSE)),"")</f>
        <v/>
      </c>
      <c r="I47" s="118" t="str">
        <f>IFERROR(((VLOOKUP(F47,Dades_PA!$A$77:$G$94,2,FALSE))*G47),"")</f>
        <v/>
      </c>
      <c r="J47" s="119" t="str">
        <f>IFERROR(((VLOOKUP(F47,Dades_PA!$A$77:$G$94,3,FALSE))*G47)*1000,"")</f>
        <v/>
      </c>
      <c r="K47" s="119" t="str">
        <f>IFERROR(((VLOOKUP(F47,Dades_PA!$A$77:$G$94,4,FALSE))*G47)*1000,"")</f>
        <v/>
      </c>
      <c r="L47" s="120" t="str">
        <f>IFERROR(((I47+(J47*Dades_PA!$B$135/1000)+(K47*Dades_PA!$B$136/1000))),"")</f>
        <v/>
      </c>
    </row>
    <row r="48" spans="5:12" ht="16.5" x14ac:dyDescent="0.3">
      <c r="E48" s="316"/>
      <c r="F48" s="174"/>
      <c r="G48" s="204"/>
      <c r="H48" s="99" t="str">
        <f>IFERROR((VLOOKUP(F48,Dades_PA!$A$77:$G$94,7,FALSE)),"")</f>
        <v/>
      </c>
      <c r="I48" s="118" t="str">
        <f>IFERROR(((VLOOKUP(F48,Dades_PA!$A$77:$G$94,2,FALSE))*G48),"")</f>
        <v/>
      </c>
      <c r="J48" s="119" t="str">
        <f>IFERROR(((VLOOKUP(F48,Dades_PA!$A$77:$G$94,3,FALSE))*G48)*1000,"")</f>
        <v/>
      </c>
      <c r="K48" s="119" t="str">
        <f>IFERROR(((VLOOKUP(F48,Dades_PA!$A$77:$G$94,4,FALSE))*G48)*1000,"")</f>
        <v/>
      </c>
      <c r="L48" s="120" t="str">
        <f>IFERROR(((I48+(J48*Dades_PA!$B$135/1000)+(K48*Dades_PA!$B$136/1000))),"")</f>
        <v/>
      </c>
    </row>
    <row r="49" spans="5:12" ht="17.25" thickBot="1" x14ac:dyDescent="0.35">
      <c r="E49" s="317"/>
      <c r="F49" s="175"/>
      <c r="G49" s="205"/>
      <c r="H49" s="100" t="str">
        <f>IFERROR((VLOOKUP(F49,Dades_PA!$A$77:$G$94,7,FALSE)),"")</f>
        <v/>
      </c>
      <c r="I49" s="121" t="str">
        <f>IFERROR(((VLOOKUP(F49,Dades_PA!$A$77:$G$94,2,FALSE))*G49),"")</f>
        <v/>
      </c>
      <c r="J49" s="122" t="str">
        <f>IFERROR(((VLOOKUP(F49,Dades_PA!$A$77:$G$94,3,FALSE))*G49)*1000,"")</f>
        <v/>
      </c>
      <c r="K49" s="122" t="str">
        <f>IFERROR(((VLOOKUP(F49,Dades_PA!$A$77:$G$94,4,FALSE))*G49)*1000,"")</f>
        <v/>
      </c>
      <c r="L49" s="123" t="str">
        <f>IFERROR(((I49+(J49*Dades_PA!$B$135/1000)+(K49*Dades_PA!$B$136/1000))),"")</f>
        <v/>
      </c>
    </row>
    <row r="50" spans="5:12" ht="16.5" x14ac:dyDescent="0.3">
      <c r="E50" s="315" t="str">
        <f>IF(('1. Datos generales del proyecto'!D35)="","",('1. Datos generales del proyecto'!D35))</f>
        <v/>
      </c>
      <c r="F50" s="173"/>
      <c r="G50" s="203"/>
      <c r="H50" s="98" t="str">
        <f>IFERROR((VLOOKUP(F50,Dades_PA!$A$77:$G$94,7,FALSE)),"")</f>
        <v/>
      </c>
      <c r="I50" s="115" t="str">
        <f>IFERROR(((VLOOKUP(F50,Dades_PA!$A$77:$G$94,2,FALSE))*G50),"")</f>
        <v/>
      </c>
      <c r="J50" s="116" t="str">
        <f>IFERROR(((VLOOKUP(F50,Dades_PA!$A$77:$G$94,3,FALSE))*G50)*1000,"")</f>
        <v/>
      </c>
      <c r="K50" s="116" t="str">
        <f>IFERROR(((VLOOKUP(F50,Dades_PA!$A$77:$G$94,4,FALSE))*G50)*1000,"")</f>
        <v/>
      </c>
      <c r="L50" s="117" t="str">
        <f>IFERROR(((I50+(J50*Dades_PA!$B$135/1000)+(K50*Dades_PA!$B$136/1000))),"")</f>
        <v/>
      </c>
    </row>
    <row r="51" spans="5:12" ht="16.5" x14ac:dyDescent="0.3">
      <c r="E51" s="316"/>
      <c r="F51" s="174"/>
      <c r="G51" s="204"/>
      <c r="H51" s="99" t="str">
        <f>IFERROR((VLOOKUP(F51,Dades_PA!$A$77:$G$94,7,FALSE)),"")</f>
        <v/>
      </c>
      <c r="I51" s="118" t="str">
        <f>IFERROR(((VLOOKUP(F51,Dades_PA!$A$77:$G$94,2,FALSE))*G51),"")</f>
        <v/>
      </c>
      <c r="J51" s="119" t="str">
        <f>IFERROR(((VLOOKUP(F51,Dades_PA!$A$77:$G$94,3,FALSE))*G51)*1000,"")</f>
        <v/>
      </c>
      <c r="K51" s="119" t="str">
        <f>IFERROR(((VLOOKUP(F51,Dades_PA!$A$77:$G$94,4,FALSE))*G51)*1000,"")</f>
        <v/>
      </c>
      <c r="L51" s="120" t="str">
        <f>IFERROR(((I51+(J51*Dades_PA!$B$135/1000)+(K51*Dades_PA!$B$136/1000))),"")</f>
        <v/>
      </c>
    </row>
    <row r="52" spans="5:12" ht="16.5" x14ac:dyDescent="0.3">
      <c r="E52" s="316"/>
      <c r="F52" s="174"/>
      <c r="G52" s="204"/>
      <c r="H52" s="99" t="str">
        <f>IFERROR((VLOOKUP(F52,Dades_PA!$A$77:$G$94,7,FALSE)),"")</f>
        <v/>
      </c>
      <c r="I52" s="118" t="str">
        <f>IFERROR(((VLOOKUP(F52,Dades_PA!$A$77:$G$94,2,FALSE))*G52),"")</f>
        <v/>
      </c>
      <c r="J52" s="119" t="str">
        <f>IFERROR(((VLOOKUP(F52,Dades_PA!$A$77:$G$94,3,FALSE))*G52)*1000,"")</f>
        <v/>
      </c>
      <c r="K52" s="119" t="str">
        <f>IFERROR(((VLOOKUP(F52,Dades_PA!$A$77:$G$94,4,FALSE))*G52)*1000,"")</f>
        <v/>
      </c>
      <c r="L52" s="120" t="str">
        <f>IFERROR(((I52+(J52*Dades_PA!$B$135/1000)+(K52*Dades_PA!$B$136/1000))),"")</f>
        <v/>
      </c>
    </row>
    <row r="53" spans="5:12" ht="16.5" x14ac:dyDescent="0.3">
      <c r="E53" s="316"/>
      <c r="F53" s="174"/>
      <c r="G53" s="204"/>
      <c r="H53" s="99" t="str">
        <f>IFERROR((VLOOKUP(F53,Dades_PA!$A$77:$G$94,7,FALSE)),"")</f>
        <v/>
      </c>
      <c r="I53" s="118" t="str">
        <f>IFERROR(((VLOOKUP(F53,Dades_PA!$A$77:$G$94,2,FALSE))*G53),"")</f>
        <v/>
      </c>
      <c r="J53" s="119" t="str">
        <f>IFERROR(((VLOOKUP(F53,Dades_PA!$A$77:$G$94,3,FALSE))*G53)*1000,"")</f>
        <v/>
      </c>
      <c r="K53" s="119" t="str">
        <f>IFERROR(((VLOOKUP(F53,Dades_PA!$A$77:$G$94,4,FALSE))*G53)*1000,"")</f>
        <v/>
      </c>
      <c r="L53" s="120" t="str">
        <f>IFERROR(((I53+(J53*Dades_PA!$B$135/1000)+(K53*Dades_PA!$B$136/1000))),"")</f>
        <v/>
      </c>
    </row>
    <row r="54" spans="5:12" ht="16.5" x14ac:dyDescent="0.3">
      <c r="E54" s="316"/>
      <c r="F54" s="174"/>
      <c r="G54" s="204"/>
      <c r="H54" s="99" t="str">
        <f>IFERROR((VLOOKUP(F54,Dades_PA!$A$77:$G$94,7,FALSE)),"")</f>
        <v/>
      </c>
      <c r="I54" s="118" t="str">
        <f>IFERROR(((VLOOKUP(F54,Dades_PA!$A$77:$G$94,2,FALSE))*G54),"")</f>
        <v/>
      </c>
      <c r="J54" s="119" t="str">
        <f>IFERROR(((VLOOKUP(F54,Dades_PA!$A$77:$G$94,3,FALSE))*G54)*1000,"")</f>
        <v/>
      </c>
      <c r="K54" s="119" t="str">
        <f>IFERROR(((VLOOKUP(F54,Dades_PA!$A$77:$G$94,4,FALSE))*G54)*1000,"")</f>
        <v/>
      </c>
      <c r="L54" s="120" t="str">
        <f>IFERROR(((I54+(J54*Dades_PA!$B$135/1000)+(K54*Dades_PA!$B$136/1000))),"")</f>
        <v/>
      </c>
    </row>
    <row r="55" spans="5:12" ht="16.5" x14ac:dyDescent="0.3">
      <c r="E55" s="316"/>
      <c r="F55" s="174"/>
      <c r="G55" s="204"/>
      <c r="H55" s="99" t="str">
        <f>IFERROR((VLOOKUP(F55,Dades_PA!$A$77:$G$94,7,FALSE)),"")</f>
        <v/>
      </c>
      <c r="I55" s="118" t="str">
        <f>IFERROR(((VLOOKUP(F55,Dades_PA!$A$77:$G$94,2,FALSE))*G55),"")</f>
        <v/>
      </c>
      <c r="J55" s="119" t="str">
        <f>IFERROR(((VLOOKUP(F55,Dades_PA!$A$77:$G$94,3,FALSE))*G55)*1000,"")</f>
        <v/>
      </c>
      <c r="K55" s="119" t="str">
        <f>IFERROR(((VLOOKUP(F55,Dades_PA!$A$77:$G$94,4,FALSE))*G55)*1000,"")</f>
        <v/>
      </c>
      <c r="L55" s="120" t="str">
        <f>IFERROR(((I55+(J55*Dades_PA!$B$135/1000)+(K55*Dades_PA!$B$136/1000))),"")</f>
        <v/>
      </c>
    </row>
    <row r="56" spans="5:12" ht="16.5" x14ac:dyDescent="0.3">
      <c r="E56" s="316"/>
      <c r="F56" s="174"/>
      <c r="G56" s="204"/>
      <c r="H56" s="99" t="str">
        <f>IFERROR((VLOOKUP(F56,Dades_PA!$A$77:$G$94,7,FALSE)),"")</f>
        <v/>
      </c>
      <c r="I56" s="118" t="str">
        <f>IFERROR(((VLOOKUP(F56,Dades_PA!$A$77:$G$94,2,FALSE))*G56),"")</f>
        <v/>
      </c>
      <c r="J56" s="119" t="str">
        <f>IFERROR(((VLOOKUP(F56,Dades_PA!$A$77:$G$94,3,FALSE))*G56)*1000,"")</f>
        <v/>
      </c>
      <c r="K56" s="119" t="str">
        <f>IFERROR(((VLOOKUP(F56,Dades_PA!$A$77:$G$94,4,FALSE))*G56)*1000,"")</f>
        <v/>
      </c>
      <c r="L56" s="120" t="str">
        <f>IFERROR(((I56+(J56*Dades_PA!$B$135/1000)+(K56*Dades_PA!$B$136/1000))),"")</f>
        <v/>
      </c>
    </row>
    <row r="57" spans="5:12" ht="16.5" x14ac:dyDescent="0.3">
      <c r="E57" s="316"/>
      <c r="F57" s="174"/>
      <c r="G57" s="204"/>
      <c r="H57" s="99" t="str">
        <f>IFERROR((VLOOKUP(F57,Dades_PA!$A$77:$G$94,7,FALSE)),"")</f>
        <v/>
      </c>
      <c r="I57" s="118" t="str">
        <f>IFERROR(((VLOOKUP(F57,Dades_PA!$A$77:$G$94,2,FALSE))*G57),"")</f>
        <v/>
      </c>
      <c r="J57" s="119" t="str">
        <f>IFERROR(((VLOOKUP(F57,Dades_PA!$A$77:$G$94,3,FALSE))*G57)*1000,"")</f>
        <v/>
      </c>
      <c r="K57" s="119" t="str">
        <f>IFERROR(((VLOOKUP(F57,Dades_PA!$A$77:$G$94,4,FALSE))*G57)*1000,"")</f>
        <v/>
      </c>
      <c r="L57" s="120" t="str">
        <f>IFERROR(((I57+(J57*Dades_PA!$B$135/1000)+(K57*Dades_PA!$B$136/1000))),"")</f>
        <v/>
      </c>
    </row>
    <row r="58" spans="5:12" ht="16.5" x14ac:dyDescent="0.3">
      <c r="E58" s="316"/>
      <c r="F58" s="174"/>
      <c r="G58" s="204"/>
      <c r="H58" s="99" t="str">
        <f>IFERROR((VLOOKUP(F58,Dades_PA!$A$77:$G$94,7,FALSE)),"")</f>
        <v/>
      </c>
      <c r="I58" s="118" t="str">
        <f>IFERROR(((VLOOKUP(F58,Dades_PA!$A$77:$G$94,2,FALSE))*G58),"")</f>
        <v/>
      </c>
      <c r="J58" s="119" t="str">
        <f>IFERROR(((VLOOKUP(F58,Dades_PA!$A$77:$G$94,3,FALSE))*G58)*1000,"")</f>
        <v/>
      </c>
      <c r="K58" s="119" t="str">
        <f>IFERROR(((VLOOKUP(F58,Dades_PA!$A$77:$G$94,4,FALSE))*G58)*1000,"")</f>
        <v/>
      </c>
      <c r="L58" s="120" t="str">
        <f>IFERROR(((I58+(J58*Dades_PA!$B$135/1000)+(K58*Dades_PA!$B$136/1000))),"")</f>
        <v/>
      </c>
    </row>
    <row r="59" spans="5:12" ht="17.25" thickBot="1" x14ac:dyDescent="0.35">
      <c r="E59" s="317"/>
      <c r="F59" s="175"/>
      <c r="G59" s="205"/>
      <c r="H59" s="100" t="str">
        <f>IFERROR((VLOOKUP(F59,Dades_PA!$A$77:$G$94,7,FALSE)),"")</f>
        <v/>
      </c>
      <c r="I59" s="121" t="str">
        <f>IFERROR(((VLOOKUP(F59,Dades_PA!$A$77:$G$94,2,FALSE))*G59),"")</f>
        <v/>
      </c>
      <c r="J59" s="122" t="str">
        <f>IFERROR(((VLOOKUP(F59,Dades_PA!$A$77:$G$94,3,FALSE))*G59)*1000,"")</f>
        <v/>
      </c>
      <c r="K59" s="122" t="str">
        <f>IFERROR(((VLOOKUP(F59,Dades_PA!$A$77:$G$94,4,FALSE))*G59)*1000,"")</f>
        <v/>
      </c>
      <c r="L59" s="123" t="str">
        <f>IFERROR(((I59+(J59*Dades_PA!$B$135/1000)+(K59*Dades_PA!$B$136/1000))),"")</f>
        <v/>
      </c>
    </row>
    <row r="60" spans="5:12" ht="17.25" thickBot="1" x14ac:dyDescent="0.35">
      <c r="E60" s="111" t="s">
        <v>7</v>
      </c>
      <c r="F60" s="112" t="s">
        <v>6</v>
      </c>
      <c r="G60" s="112" t="s">
        <v>6</v>
      </c>
      <c r="H60" s="112" t="s">
        <v>6</v>
      </c>
      <c r="I60" s="113">
        <f>SUM(I9:I59)</f>
        <v>0</v>
      </c>
      <c r="J60" s="113">
        <f t="shared" ref="J60:K60" si="0">SUM(J9:J59)</f>
        <v>0</v>
      </c>
      <c r="K60" s="113">
        <f t="shared" si="0"/>
        <v>0</v>
      </c>
      <c r="L60" s="114">
        <f>SUM(L9:L59)</f>
        <v>0</v>
      </c>
    </row>
    <row r="62" spans="5:12" x14ac:dyDescent="0.25">
      <c r="E62" s="332" t="s">
        <v>134</v>
      </c>
      <c r="F62" s="333"/>
      <c r="G62" s="333"/>
      <c r="H62" s="333"/>
      <c r="I62" s="333"/>
      <c r="J62" s="333"/>
      <c r="K62" s="333"/>
      <c r="L62" s="334"/>
    </row>
    <row r="63" spans="5:12" x14ac:dyDescent="0.25">
      <c r="E63" s="335"/>
      <c r="F63" s="336"/>
      <c r="G63" s="336"/>
      <c r="H63" s="336"/>
      <c r="I63" s="336"/>
      <c r="J63" s="336"/>
      <c r="K63" s="336"/>
      <c r="L63" s="337"/>
    </row>
    <row r="64" spans="5:12" x14ac:dyDescent="0.25">
      <c r="E64" s="338"/>
      <c r="F64" s="339"/>
      <c r="G64" s="339"/>
      <c r="H64" s="339"/>
      <c r="I64" s="339"/>
      <c r="J64" s="339"/>
      <c r="K64" s="339"/>
      <c r="L64" s="340"/>
    </row>
  </sheetData>
  <sheetProtection sheet="1" objects="1" scenarios="1"/>
  <mergeCells count="15">
    <mergeCell ref="E62:L64"/>
    <mergeCell ref="C1:M1"/>
    <mergeCell ref="E3:L4"/>
    <mergeCell ref="E50:E59"/>
    <mergeCell ref="F7:F8"/>
    <mergeCell ref="I7:I8"/>
    <mergeCell ref="G7:H7"/>
    <mergeCell ref="E7:E8"/>
    <mergeCell ref="E9:E18"/>
    <mergeCell ref="E19:E28"/>
    <mergeCell ref="E29:E39"/>
    <mergeCell ref="E40:E49"/>
    <mergeCell ref="J7:J8"/>
    <mergeCell ref="K7:K8"/>
    <mergeCell ref="L7:L8"/>
  </mergeCells>
  <dataValidations count="1">
    <dataValidation type="list" allowBlank="1" showInputMessage="1" showErrorMessage="1" sqref="F9:F59" xr:uid="{00000000-0002-0000-0400-000000000000}">
      <formula1>Tractament</formula1>
    </dataValidation>
  </dataValidations>
  <hyperlinks>
    <hyperlink ref="A5" location="'2.1 Absorciones árboles'!A1" display="2.1. Cápsula 1.1: Absorciones de los árboles" xr:uid="{00000000-0004-0000-0400-000000000000}"/>
    <hyperlink ref="A7" location="'2.3 Emisiones maquinaria'!A1" display="2.3. Cápsula 2.2: Emisiones de vehículos y maquinaria" xr:uid="{00000000-0004-0000-0400-000001000000}"/>
    <hyperlink ref="A8" location="'2.4 Emisiones quema restos'!A1" display="2.4. Cápsula 2.3: Emisiones de CH4 y N2O por quema" xr:uid="{00000000-0004-0000-0400-000002000000}"/>
    <hyperlink ref="A9" location="'2.5 Emisiones productos'!A1" display="2.5. Cápsula 2.4: Emisiones de los productos madereros" xr:uid="{00000000-0004-0000-0400-000003000000}"/>
    <hyperlink ref="A10" location="'3. Resultados'!A1" display="3. Resultados de absorciones del proyecto" xr:uid="{00000000-0004-0000-0400-000004000000}"/>
    <hyperlink ref="A6" location="'2.2 Emisiones restos corta'!A1" display="2.2. Cápsula 2.1: Emisiones de CO2 por descomposición y quema" xr:uid="{00000000-0004-0000-0400-000005000000}"/>
    <hyperlink ref="A4" location="'1. Datos generales del proyecto'!A1" display="1. Datos del proyecto" xr:uid="{00000000-0004-0000-0400-000006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J106"/>
  <sheetViews>
    <sheetView zoomScale="90" zoomScaleNormal="90" workbookViewId="0">
      <pane xSplit="1" topLeftCell="B1" activePane="topRight" state="frozen"/>
      <selection activeCell="C1" sqref="C1:M1"/>
      <selection pane="topRight" activeCell="AC49" sqref="AC49"/>
    </sheetView>
  </sheetViews>
  <sheetFormatPr baseColWidth="10" defaultColWidth="9.140625" defaultRowHeight="15" x14ac:dyDescent="0.25"/>
  <cols>
    <col min="1" max="1" width="57.5703125" style="8" customWidth="1"/>
    <col min="2" max="2" width="1.7109375" style="2" customWidth="1"/>
    <col min="3" max="3" width="1" style="2" customWidth="1"/>
    <col min="4" max="4" width="1.42578125" style="6" customWidth="1"/>
    <col min="5" max="5" width="21.85546875" style="6" customWidth="1"/>
    <col min="6" max="6" width="38.7109375" style="6" customWidth="1"/>
    <col min="7" max="7" width="22.140625" style="6" hidden="1" customWidth="1"/>
    <col min="8" max="8" width="15.140625" style="6" customWidth="1"/>
    <col min="9" max="9" width="16.7109375" style="6" customWidth="1"/>
    <col min="10" max="10" width="16.7109375" style="6" hidden="1" customWidth="1"/>
    <col min="11" max="11" width="16.85546875" style="6" customWidth="1"/>
    <col min="12" max="12" width="16.85546875" style="6" hidden="1" customWidth="1"/>
    <col min="13" max="13" width="17.5703125" style="6" customWidth="1"/>
    <col min="14" max="14" width="17.5703125" style="6" hidden="1" customWidth="1"/>
    <col min="15" max="15" width="25.7109375" style="6" customWidth="1"/>
    <col min="16" max="17" width="25.5703125" style="6" customWidth="1"/>
    <col min="18" max="18" width="25" style="6" customWidth="1"/>
    <col min="19" max="20" width="23.7109375" style="6" customWidth="1"/>
    <col min="21" max="21" width="25.7109375" style="6" customWidth="1"/>
    <col min="22" max="22" width="4.5703125" style="6" customWidth="1"/>
    <col min="23" max="1024" width="9.140625" style="6"/>
  </cols>
  <sheetData>
    <row r="1" spans="1:22" ht="40.700000000000003" customHeight="1" x14ac:dyDescent="0.25">
      <c r="B1" s="3"/>
      <c r="C1" s="295" t="s">
        <v>136</v>
      </c>
      <c r="D1" s="295"/>
      <c r="E1" s="295"/>
      <c r="F1" s="295"/>
      <c r="G1" s="295"/>
      <c r="H1" s="295"/>
      <c r="I1" s="295"/>
      <c r="J1" s="295"/>
      <c r="K1" s="295"/>
      <c r="L1" s="295"/>
      <c r="M1" s="295"/>
      <c r="N1" s="295"/>
      <c r="O1" s="295"/>
      <c r="P1" s="295"/>
      <c r="Q1" s="295"/>
      <c r="R1" s="295"/>
      <c r="S1" s="295"/>
      <c r="T1" s="295"/>
      <c r="U1" s="295"/>
      <c r="V1" s="295"/>
    </row>
    <row r="2" spans="1:22" ht="24" customHeight="1" x14ac:dyDescent="0.25">
      <c r="B2" s="3"/>
    </row>
    <row r="3" spans="1:22" ht="16.5" customHeight="1" x14ac:dyDescent="0.25">
      <c r="A3" s="5"/>
      <c r="B3" s="4"/>
      <c r="E3" s="341" t="s">
        <v>137</v>
      </c>
      <c r="F3" s="341"/>
      <c r="G3" s="341"/>
      <c r="H3" s="341"/>
      <c r="I3" s="341"/>
      <c r="J3" s="341"/>
      <c r="K3" s="341"/>
      <c r="L3" s="341"/>
      <c r="M3" s="341"/>
      <c r="N3" s="341"/>
      <c r="O3" s="341"/>
      <c r="P3" s="341"/>
      <c r="Q3" s="341"/>
      <c r="R3" s="341"/>
      <c r="S3" s="341"/>
      <c r="T3" s="341"/>
      <c r="U3" s="341"/>
      <c r="V3" s="341"/>
    </row>
    <row r="4" spans="1:22" ht="14.25" customHeight="1" thickBot="1" x14ac:dyDescent="0.35">
      <c r="A4" s="144" t="s">
        <v>85</v>
      </c>
      <c r="B4" s="4"/>
      <c r="E4" s="149"/>
      <c r="F4" s="149"/>
      <c r="G4" s="149"/>
      <c r="H4" s="149"/>
      <c r="I4" s="149"/>
      <c r="J4" s="149"/>
      <c r="K4" s="149"/>
      <c r="L4" s="149"/>
      <c r="M4" s="149"/>
      <c r="N4" s="149"/>
      <c r="O4" s="149"/>
      <c r="P4" s="149"/>
      <c r="Q4" s="149"/>
      <c r="R4" s="149"/>
      <c r="S4" s="149"/>
      <c r="T4" s="149"/>
      <c r="U4" s="149"/>
    </row>
    <row r="5" spans="1:22" ht="16.5" customHeight="1" x14ac:dyDescent="0.3">
      <c r="A5" s="144" t="s">
        <v>86</v>
      </c>
      <c r="E5" s="315" t="s">
        <v>67</v>
      </c>
      <c r="F5" s="312" t="s">
        <v>115</v>
      </c>
      <c r="G5" s="330" t="s">
        <v>272</v>
      </c>
      <c r="H5" s="312" t="s">
        <v>116</v>
      </c>
      <c r="I5" s="312" t="s">
        <v>138</v>
      </c>
      <c r="J5" s="330" t="s">
        <v>53</v>
      </c>
      <c r="K5" s="312" t="s">
        <v>139</v>
      </c>
      <c r="L5" s="330" t="s">
        <v>54</v>
      </c>
      <c r="M5" s="312" t="s">
        <v>140</v>
      </c>
      <c r="N5" s="330" t="s">
        <v>55</v>
      </c>
      <c r="O5" s="312" t="s">
        <v>141</v>
      </c>
      <c r="P5" s="312" t="s">
        <v>142</v>
      </c>
      <c r="Q5" s="312" t="s">
        <v>143</v>
      </c>
      <c r="R5" s="312" t="s">
        <v>144</v>
      </c>
      <c r="S5" s="312" t="s">
        <v>145</v>
      </c>
      <c r="T5" s="312" t="s">
        <v>146</v>
      </c>
      <c r="U5" s="319" t="s">
        <v>147</v>
      </c>
    </row>
    <row r="6" spans="1:22" s="51" customFormat="1" ht="22.5" customHeight="1" thickBot="1" x14ac:dyDescent="0.4">
      <c r="A6" s="144" t="s">
        <v>266</v>
      </c>
      <c r="B6" s="2"/>
      <c r="C6" s="2"/>
      <c r="D6" s="6"/>
      <c r="E6" s="320"/>
      <c r="F6" s="313"/>
      <c r="G6" s="388"/>
      <c r="H6" s="313"/>
      <c r="I6" s="313"/>
      <c r="J6" s="388"/>
      <c r="K6" s="313"/>
      <c r="L6" s="388"/>
      <c r="M6" s="313"/>
      <c r="N6" s="388"/>
      <c r="O6" s="313"/>
      <c r="P6" s="313"/>
      <c r="Q6" s="313"/>
      <c r="R6" s="313"/>
      <c r="S6" s="313"/>
      <c r="T6" s="313"/>
      <c r="U6" s="342"/>
    </row>
    <row r="7" spans="1:22" ht="16.5" customHeight="1" x14ac:dyDescent="0.3">
      <c r="A7" s="144" t="s">
        <v>87</v>
      </c>
      <c r="E7" s="315" t="str">
        <f>IF(('1. Datos generales del proyecto'!D31)="","",('1. Datos generales del proyecto'!D31))</f>
        <v/>
      </c>
      <c r="F7" s="170" t="str">
        <f>IF('2.1 Absorciones árboles'!E7=0,"",'2.1 Absorciones árboles'!E7)</f>
        <v/>
      </c>
      <c r="G7" s="185" t="str">
        <f>IF(('2.1 Absorciones árboles'!H7&gt;0),('2.1 Absorciones árboles'!H7),"")</f>
        <v/>
      </c>
      <c r="H7" s="186" t="str">
        <f>IF('2.2 Emisiones restos corta'!I16="","",'2.2 Emisiones restos corta'!I16)</f>
        <v/>
      </c>
      <c r="I7" s="84" t="str">
        <f>IF('2.2 Emisiones restos corta'!L16="Quema","Sí",(IF('2.2 Emisiones restos corta'!L16="Descomposición","No",(IF('2.2 Emisiones restos corta'!L16="Producto","No"," ")))))</f>
        <v xml:space="preserve"> </v>
      </c>
      <c r="J7" s="84" t="str">
        <f>CONCATENATE("Bb&lt;2iBf-",G7)</f>
        <v>Bb&lt;2iBf-</v>
      </c>
      <c r="K7" s="84" t="str">
        <f>IF('2.2 Emisiones restos corta'!N16="Quema","Sí",(IF('2.2 Emisiones restos corta'!N16="Descomposición","No",(IF('2.2 Emisiones restos corta'!N16="Producto","No"," ")))))</f>
        <v xml:space="preserve"> </v>
      </c>
      <c r="L7" s="84" t="str">
        <f>CONCATENATE("Bb&gt;2-",G7)</f>
        <v>Bb&gt;2-</v>
      </c>
      <c r="M7" s="84" t="str">
        <f>IF('2.2 Emisiones restos corta'!P16="Quema","Sí",(IF('2.2 Emisiones restos corta'!P16="Descomposición","No",(IF('2.2 Emisiones restos corta'!P16="Producto","No"," ")))))</f>
        <v xml:space="preserve"> </v>
      </c>
      <c r="N7" s="84" t="str">
        <f>CONCATENATE("Bt-",G7)</f>
        <v>Bt-</v>
      </c>
      <c r="O7" s="170" t="str">
        <f>IF(I7="No",0,IF(I7="Sí",((INDEX(Dades_PA!$B$101:$Y$127,(MATCH(F7,Dades_PA!$A$101:$A$127,0)),(MATCH(J7,Dades_PA!$B$100:$Y$100,0))))*((Dades_PA!$B$131))*H7*1000),""))</f>
        <v/>
      </c>
      <c r="P7" s="170" t="str">
        <f>IF(I7="No",0,IF(I7="Sí",((INDEX(Dades_PA!$B$101:$Y$127,(MATCH(F7,Dades_PA!$A$101:$A$127,0)),(MATCH(J7,Dades_PA!$B$100:$Y$100,0))))*((Dades_PA!$C$131))*H7*1000),""))</f>
        <v/>
      </c>
      <c r="Q7" s="170" t="str">
        <f>IF(K7="No",0,IF(K7="Sí",((INDEX(Dades_PA!$B$101:$Y$127,(MATCH(F7,Dades_PA!$A$101:$A$127,0)),(MATCH(L7,Dades_PA!$B$100:$Y$100,0))))*((Dades_PA!$B$131))*H7*1000),""))</f>
        <v/>
      </c>
      <c r="R7" s="170" t="str">
        <f>IF(K7="No",0,IF(K7="Sí",((INDEX(Dades_PA!$B$101:$Y$127,(MATCH(F7,Dades_PA!$A$101:$A$127,0)),(MATCH(L7,Dades_PA!$B$100:$Y$100,0))))*((Dades_PA!$C$131))*H7*1000),""))</f>
        <v/>
      </c>
      <c r="S7" s="170" t="str">
        <f>IF(M7="No",0,IF(M7="Sí",((INDEX(Dades_PA!$B$101:$Y$127,(MATCH(F7,Dades_PA!$A$101:$A$127,0)),(MATCH(N7,Dades_PA!$B$100:$Y$100,0))))*((Dades_PA!$B$131))*H7*1000),""))</f>
        <v/>
      </c>
      <c r="T7" s="170" t="str">
        <f>IF(M7="No",0,IF(M7="Sí",((INDEX(Dades_PA!$B$101:$Y$127,(MATCH(F7,Dades_PA!$A$101:$A$127,0)),(MATCH(N7,Dades_PA!$B$100:$Y$100,0))))*((Dades_PA!$C$131))*H7*1000),""))</f>
        <v/>
      </c>
      <c r="U7" s="187" t="str">
        <f>IFERROR(((((O7+Q7+S7)*Dades_PA!$B$135)+((P7+R7+T7)*Dades_PA!$B$136))/1000),"")</f>
        <v/>
      </c>
    </row>
    <row r="8" spans="1:22" ht="15.75" customHeight="1" x14ac:dyDescent="0.35">
      <c r="A8" s="144" t="s">
        <v>271</v>
      </c>
      <c r="E8" s="316"/>
      <c r="F8" s="171" t="str">
        <f>IF('2.1 Absorciones árboles'!E8=0,"",'2.1 Absorciones árboles'!E8)</f>
        <v/>
      </c>
      <c r="G8" s="178" t="str">
        <f>$G$7</f>
        <v/>
      </c>
      <c r="H8" s="177" t="str">
        <f>IF('2.2 Emisiones restos corta'!I17="","",'2.2 Emisiones restos corta'!I17)</f>
        <v/>
      </c>
      <c r="I8" s="88" t="str">
        <f>IF('2.2 Emisiones restos corta'!L17="Quema","Sí",(IF('2.2 Emisiones restos corta'!L17="Descomposición","No",(IF('2.2 Emisiones restos corta'!L17="Producto","No"," ")))))</f>
        <v xml:space="preserve"> </v>
      </c>
      <c r="J8" s="88" t="str">
        <f t="shared" ref="J8:J56" si="0">CONCATENATE("Bb&lt;2iBf-",G8)</f>
        <v>Bb&lt;2iBf-</v>
      </c>
      <c r="K8" s="88" t="str">
        <f>IF('2.2 Emisiones restos corta'!N17="Quema","Sí",(IF('2.2 Emisiones restos corta'!N17="Descomposición","No",(IF('2.2 Emisiones restos corta'!N17="Producto","No"," ")))))</f>
        <v xml:space="preserve"> </v>
      </c>
      <c r="L8" s="88" t="str">
        <f t="shared" ref="L8:L56" si="1">CONCATENATE("Bb&gt;2-",G8)</f>
        <v>Bb&gt;2-</v>
      </c>
      <c r="M8" s="88" t="str">
        <f>IF('2.2 Emisiones restos corta'!P17="Quema","Sí",(IF('2.2 Emisiones restos corta'!P17="Descomposición","No",(IF('2.2 Emisiones restos corta'!P17="Producto","No"," ")))))</f>
        <v xml:space="preserve"> </v>
      </c>
      <c r="N8" s="88" t="str">
        <f t="shared" ref="N8:N56" si="2">CONCATENATE("Bt-",G8)</f>
        <v>Bt-</v>
      </c>
      <c r="O8" s="176" t="str">
        <f>IF(I8="No",0,IF(I8="Sí",((INDEX(Dades_PA!$B$101:$Y$127,(MATCH(F8,Dades_PA!$A$101:$A$127,0)),(MATCH(J8,Dades_PA!$B$100:$Y$100,0))))*((Dades_PA!$B$131))*H8*1000),""))</f>
        <v/>
      </c>
      <c r="P8" s="176" t="str">
        <f>IF(I8="No",0,IF(I8="Sí",((INDEX(Dades_PA!$B$101:$Y$127,(MATCH(F8,Dades_PA!$A$101:$A$127,0)),(MATCH(J8,Dades_PA!$B$100:$Y$100,0))))*((Dades_PA!$C$131))*H8*1000),""))</f>
        <v/>
      </c>
      <c r="Q8" s="176" t="str">
        <f>IF(K8="No",0,IF(K8="Sí",((INDEX(Dades_PA!$B$101:$Y$127,(MATCH(F8,Dades_PA!$A$101:$A$127,0)),(MATCH(L8,Dades_PA!$B$100:$Y$100,0))))*((Dades_PA!$B$131))*H8*1000),""))</f>
        <v/>
      </c>
      <c r="R8" s="176" t="str">
        <f>IF(K8="No",0,IF(K8="Sí",((INDEX(Dades_PA!$B$101:$Y$127,(MATCH(F8,Dades_PA!$A$101:$A$127,0)),(MATCH(L8,Dades_PA!$B$100:$Y$100,0))))*((Dades_PA!$C$131))*H8*1000),""))</f>
        <v/>
      </c>
      <c r="S8" s="176" t="str">
        <f>IF(M8="No",0,IF(M8="Sí",((INDEX(Dades_PA!$B$101:$Y$127,(MATCH(F8,Dades_PA!$A$101:$A$127,0)),(MATCH(N8,Dades_PA!$B$100:$Y$100,0))))*((Dades_PA!$B$131))*H8*1000),""))</f>
        <v/>
      </c>
      <c r="T8" s="176" t="str">
        <f>IF(M8="No",0,IF(M8="Sí",((INDEX(Dades_PA!$B$101:$Y$127,(MATCH(F8,Dades_PA!$A$101:$A$127,0)),(MATCH(N8,Dades_PA!$B$100:$Y$100,0))))*((Dades_PA!$C$131))*H8*1000),""))</f>
        <v/>
      </c>
      <c r="U8" s="179" t="str">
        <f>IFERROR(((((O8+Q8+S8)*Dades_PA!$B$135)+((P8+R8+T8)*Dades_PA!$B$136))/1000),"")</f>
        <v/>
      </c>
    </row>
    <row r="9" spans="1:22" ht="15.75" customHeight="1" x14ac:dyDescent="0.3">
      <c r="A9" s="144" t="s">
        <v>88</v>
      </c>
      <c r="E9" s="316"/>
      <c r="F9" s="171" t="str">
        <f>IF('2.1 Absorciones árboles'!E9=0,"",'2.1 Absorciones árboles'!E9)</f>
        <v/>
      </c>
      <c r="G9" s="178" t="str">
        <f t="shared" ref="G9:G16" si="3">$G$7</f>
        <v/>
      </c>
      <c r="H9" s="177" t="str">
        <f>IF('2.2 Emisiones restos corta'!I18="","",'2.2 Emisiones restos corta'!I18)</f>
        <v/>
      </c>
      <c r="I9" s="88" t="str">
        <f>IF('2.2 Emisiones restos corta'!L18="Quema","Sí",(IF('2.2 Emisiones restos corta'!L18="Descomposición","No",(IF('2.2 Emisiones restos corta'!L18="Producto","No"," ")))))</f>
        <v xml:space="preserve"> </v>
      </c>
      <c r="J9" s="88" t="str">
        <f t="shared" si="0"/>
        <v>Bb&lt;2iBf-</v>
      </c>
      <c r="K9" s="88" t="str">
        <f>IF('2.2 Emisiones restos corta'!N18="Quema","Sí",(IF('2.2 Emisiones restos corta'!N18="Descomposición","No",(IF('2.2 Emisiones restos corta'!N18="Producto","No"," ")))))</f>
        <v xml:space="preserve"> </v>
      </c>
      <c r="L9" s="88" t="str">
        <f t="shared" si="1"/>
        <v>Bb&gt;2-</v>
      </c>
      <c r="M9" s="88" t="str">
        <f>IF('2.2 Emisiones restos corta'!P18="Quema","Sí",(IF('2.2 Emisiones restos corta'!P18="Descomposición","No",(IF('2.2 Emisiones restos corta'!P18="Producto","No"," ")))))</f>
        <v xml:space="preserve"> </v>
      </c>
      <c r="N9" s="88" t="str">
        <f t="shared" si="2"/>
        <v>Bt-</v>
      </c>
      <c r="O9" s="176" t="str">
        <f>IF(I9="No",0,IF(I9="Sí",((INDEX(Dades_PA!$B$101:$Y$127,(MATCH(F9,Dades_PA!$A$101:$A$127,0)),(MATCH(J9,Dades_PA!$B$100:$Y$100,0))))*((Dades_PA!$B$131))*H9*1000),""))</f>
        <v/>
      </c>
      <c r="P9" s="176" t="str">
        <f>IF(I9="No",0,IF(I9="Sí",((INDEX(Dades_PA!$B$101:$Y$127,(MATCH(F9,Dades_PA!$A$101:$A$127,0)),(MATCH(J9,Dades_PA!$B$100:$Y$100,0))))*((Dades_PA!$C$131))*H9*1000),""))</f>
        <v/>
      </c>
      <c r="Q9" s="176" t="str">
        <f>IF(K9="No",0,IF(K9="Sí",((INDEX(Dades_PA!$B$101:$Y$127,(MATCH(F9,Dades_PA!$A$101:$A$127,0)),(MATCH(L9,Dades_PA!$B$100:$Y$100,0))))*((Dades_PA!$B$131))*H9*1000),""))</f>
        <v/>
      </c>
      <c r="R9" s="176" t="str">
        <f>IF(K9="No",0,IF(K9="Sí",((INDEX(Dades_PA!$B$101:$Y$127,(MATCH(F9,Dades_PA!$A$101:$A$127,0)),(MATCH(L9,Dades_PA!$B$100:$Y$100,0))))*((Dades_PA!$C$131))*H9*1000),""))</f>
        <v/>
      </c>
      <c r="S9" s="176" t="str">
        <f>IF(M9="No",0,IF(M9="Sí",((INDEX(Dades_PA!$B$101:$Y$127,(MATCH(F9,Dades_PA!$A$101:$A$127,0)),(MATCH(N9,Dades_PA!$B$100:$Y$100,0))))*((Dades_PA!$B$131))*H9*1000),""))</f>
        <v/>
      </c>
      <c r="T9" s="176" t="str">
        <f>IF(M9="No",0,IF(M9="Sí",((INDEX(Dades_PA!$B$101:$Y$127,(MATCH(F9,Dades_PA!$A$101:$A$127,0)),(MATCH(N9,Dades_PA!$B$100:$Y$100,0))))*((Dades_PA!$C$131))*H9*1000),""))</f>
        <v/>
      </c>
      <c r="U9" s="179" t="str">
        <f>IFERROR(((((O9+Q9+S9)*Dades_PA!$B$135)+((P9+R9+T9)*Dades_PA!$B$136))/1000),"")</f>
        <v/>
      </c>
    </row>
    <row r="10" spans="1:22" ht="15.75" customHeight="1" x14ac:dyDescent="0.3">
      <c r="A10" s="144" t="s">
        <v>89</v>
      </c>
      <c r="E10" s="316"/>
      <c r="F10" s="171" t="str">
        <f>IF('2.1 Absorciones árboles'!E10=0,"",'2.1 Absorciones árboles'!E10)</f>
        <v/>
      </c>
      <c r="G10" s="178" t="str">
        <f t="shared" si="3"/>
        <v/>
      </c>
      <c r="H10" s="177" t="str">
        <f>IF('2.2 Emisiones restos corta'!I19="","",'2.2 Emisiones restos corta'!I19)</f>
        <v/>
      </c>
      <c r="I10" s="88" t="str">
        <f>IF('2.2 Emisiones restos corta'!L19="Quema","Sí",(IF('2.2 Emisiones restos corta'!L19="Descomposición","No",(IF('2.2 Emisiones restos corta'!L19="Producto","No"," ")))))</f>
        <v xml:space="preserve"> </v>
      </c>
      <c r="J10" s="88" t="str">
        <f t="shared" si="0"/>
        <v>Bb&lt;2iBf-</v>
      </c>
      <c r="K10" s="88" t="str">
        <f>IF('2.2 Emisiones restos corta'!N19="Quema","Sí",(IF('2.2 Emisiones restos corta'!N19="Descomposición","No",(IF('2.2 Emisiones restos corta'!N19="Producto","No"," ")))))</f>
        <v xml:space="preserve"> </v>
      </c>
      <c r="L10" s="88" t="str">
        <f t="shared" si="1"/>
        <v>Bb&gt;2-</v>
      </c>
      <c r="M10" s="88" t="str">
        <f>IF('2.2 Emisiones restos corta'!P19="Quema","Sí",(IF('2.2 Emisiones restos corta'!P19="Descomposición","No",(IF('2.2 Emisiones restos corta'!P19="Producto","No"," ")))))</f>
        <v xml:space="preserve"> </v>
      </c>
      <c r="N10" s="88" t="str">
        <f t="shared" si="2"/>
        <v>Bt-</v>
      </c>
      <c r="O10" s="176" t="str">
        <f>IF(I10="No",0,IF(I10="Sí",((INDEX(Dades_PA!$B$101:$Y$127,(MATCH(F10,Dades_PA!$A$101:$A$127,0)),(MATCH(J10,Dades_PA!$B$100:$Y$100,0))))*((Dades_PA!$B$131))*H10*1000),""))</f>
        <v/>
      </c>
      <c r="P10" s="176" t="str">
        <f>IF(I10="No",0,IF(I10="Sí",((INDEX(Dades_PA!$B$101:$Y$127,(MATCH(F10,Dades_PA!$A$101:$A$127,0)),(MATCH(J10,Dades_PA!$B$100:$Y$100,0))))*((Dades_PA!$C$131))*H10*1000),""))</f>
        <v/>
      </c>
      <c r="Q10" s="176" t="str">
        <f>IF(K10="No",0,IF(K10="Sí",((INDEX(Dades_PA!$B$101:$Y$127,(MATCH(F10,Dades_PA!$A$101:$A$127,0)),(MATCH(L10,Dades_PA!$B$100:$Y$100,0))))*((Dades_PA!$B$131))*H10*1000),""))</f>
        <v/>
      </c>
      <c r="R10" s="176" t="str">
        <f>IF(K10="No",0,IF(K10="Sí",((INDEX(Dades_PA!$B$101:$Y$127,(MATCH(F10,Dades_PA!$A$101:$A$127,0)),(MATCH(L10,Dades_PA!$B$100:$Y$100,0))))*((Dades_PA!$C$131))*H10*1000),""))</f>
        <v/>
      </c>
      <c r="S10" s="176" t="str">
        <f>IF(M10="No",0,IF(M10="Sí",((INDEX(Dades_PA!$B$101:$Y$127,(MATCH(F10,Dades_PA!$A$101:$A$127,0)),(MATCH(N10,Dades_PA!$B$100:$Y$100,0))))*((Dades_PA!$B$131))*H10*1000),""))</f>
        <v/>
      </c>
      <c r="T10" s="176" t="str">
        <f>IF(M10="No",0,IF(M10="Sí",((INDEX(Dades_PA!$B$101:$Y$127,(MATCH(F10,Dades_PA!$A$101:$A$127,0)),(MATCH(N10,Dades_PA!$B$100:$Y$100,0))))*((Dades_PA!$C$131))*H10*1000),""))</f>
        <v/>
      </c>
      <c r="U10" s="179" t="str">
        <f>IFERROR(((((O10+Q10+S10)*Dades_PA!$B$135)+((P10+R10+T10)*Dades_PA!$B$136))/1000),"")</f>
        <v/>
      </c>
    </row>
    <row r="11" spans="1:22" ht="15.75" customHeight="1" x14ac:dyDescent="0.25">
      <c r="E11" s="316"/>
      <c r="F11" s="171" t="str">
        <f>IF('2.1 Absorciones árboles'!E11=0,"",'2.1 Absorciones árboles'!E11)</f>
        <v/>
      </c>
      <c r="G11" s="178" t="str">
        <f t="shared" si="3"/>
        <v/>
      </c>
      <c r="H11" s="177" t="str">
        <f>IF('2.2 Emisiones restos corta'!I20="","",'2.2 Emisiones restos corta'!I20)</f>
        <v/>
      </c>
      <c r="I11" s="88" t="str">
        <f>IF('2.2 Emisiones restos corta'!L20="Quema","Sí",(IF('2.2 Emisiones restos corta'!L20="Descomposición","No",(IF('2.2 Emisiones restos corta'!L20="Producto","No"," ")))))</f>
        <v xml:space="preserve"> </v>
      </c>
      <c r="J11" s="88" t="str">
        <f t="shared" si="0"/>
        <v>Bb&lt;2iBf-</v>
      </c>
      <c r="K11" s="88" t="str">
        <f>IF('2.2 Emisiones restos corta'!N20="Quema","Sí",(IF('2.2 Emisiones restos corta'!N20="Descomposición","No",(IF('2.2 Emisiones restos corta'!N20="Producto","No"," ")))))</f>
        <v xml:space="preserve"> </v>
      </c>
      <c r="L11" s="88" t="str">
        <f t="shared" si="1"/>
        <v>Bb&gt;2-</v>
      </c>
      <c r="M11" s="88" t="str">
        <f>IF('2.2 Emisiones restos corta'!P20="Quema","Sí",(IF('2.2 Emisiones restos corta'!P20="Descomposición","No",(IF('2.2 Emisiones restos corta'!P20="Producto","No"," ")))))</f>
        <v xml:space="preserve"> </v>
      </c>
      <c r="N11" s="88" t="str">
        <f t="shared" si="2"/>
        <v>Bt-</v>
      </c>
      <c r="O11" s="176" t="str">
        <f>IF(I11="No",0,IF(I11="Sí",((INDEX(Dades_PA!$B$101:$Y$127,(MATCH(F11,Dades_PA!$A$101:$A$127,0)),(MATCH(J11,Dades_PA!$B$100:$Y$100,0))))*((Dades_PA!$B$131))*H11*1000),""))</f>
        <v/>
      </c>
      <c r="P11" s="176" t="str">
        <f>IF(I11="No",0,IF(I11="Sí",((INDEX(Dades_PA!$B$101:$Y$127,(MATCH(F11,Dades_PA!$A$101:$A$127,0)),(MATCH(J11,Dades_PA!$B$100:$Y$100,0))))*((Dades_PA!$C$131))*H11*1000),""))</f>
        <v/>
      </c>
      <c r="Q11" s="176" t="str">
        <f>IF(K11="No",0,IF(K11="Sí",((INDEX(Dades_PA!$B$101:$Y$127,(MATCH(F11,Dades_PA!$A$101:$A$127,0)),(MATCH(L11,Dades_PA!$B$100:$Y$100,0))))*((Dades_PA!$B$131))*H11*1000),""))</f>
        <v/>
      </c>
      <c r="R11" s="176" t="str">
        <f>IF(K11="No",0,IF(K11="Sí",((INDEX(Dades_PA!$B$101:$Y$127,(MATCH(F11,Dades_PA!$A$101:$A$127,0)),(MATCH(L11,Dades_PA!$B$100:$Y$100,0))))*((Dades_PA!$C$131))*H11*1000),""))</f>
        <v/>
      </c>
      <c r="S11" s="176" t="str">
        <f>IF(M11="No",0,IF(M11="Sí",((INDEX(Dades_PA!$B$101:$Y$127,(MATCH(F11,Dades_PA!$A$101:$A$127,0)),(MATCH(N11,Dades_PA!$B$100:$Y$100,0))))*((Dades_PA!$B$131))*H11*1000),""))</f>
        <v/>
      </c>
      <c r="T11" s="176" t="str">
        <f>IF(M11="No",0,IF(M11="Sí",((INDEX(Dades_PA!$B$101:$Y$127,(MATCH(F11,Dades_PA!$A$101:$A$127,0)),(MATCH(N11,Dades_PA!$B$100:$Y$100,0))))*((Dades_PA!$C$131))*H11*1000),""))</f>
        <v/>
      </c>
      <c r="U11" s="179" t="str">
        <f>IFERROR(((((O11+Q11+S11)*Dades_PA!$B$135)+((P11+R11+T11)*Dades_PA!$B$136))/1000),"")</f>
        <v/>
      </c>
    </row>
    <row r="12" spans="1:22" ht="15.75" customHeight="1" x14ac:dyDescent="0.25">
      <c r="E12" s="316"/>
      <c r="F12" s="171" t="str">
        <f>IF('2.1 Absorciones árboles'!E12=0,"",'2.1 Absorciones árboles'!E12)</f>
        <v/>
      </c>
      <c r="G12" s="178" t="str">
        <f t="shared" si="3"/>
        <v/>
      </c>
      <c r="H12" s="177" t="str">
        <f>IF('2.2 Emisiones restos corta'!I21="","",'2.2 Emisiones restos corta'!I21)</f>
        <v/>
      </c>
      <c r="I12" s="88" t="str">
        <f>IF('2.2 Emisiones restos corta'!L21="Quema","Sí",(IF('2.2 Emisiones restos corta'!L21="Descomposición","No",(IF('2.2 Emisiones restos corta'!L21="Producto","No"," ")))))</f>
        <v xml:space="preserve"> </v>
      </c>
      <c r="J12" s="88" t="str">
        <f t="shared" si="0"/>
        <v>Bb&lt;2iBf-</v>
      </c>
      <c r="K12" s="88" t="str">
        <f>IF('2.2 Emisiones restos corta'!N21="Quema","Sí",(IF('2.2 Emisiones restos corta'!N21="Descomposición","No",(IF('2.2 Emisiones restos corta'!N21="Producto","No"," ")))))</f>
        <v xml:space="preserve"> </v>
      </c>
      <c r="L12" s="88" t="str">
        <f t="shared" si="1"/>
        <v>Bb&gt;2-</v>
      </c>
      <c r="M12" s="88" t="str">
        <f>IF('2.2 Emisiones restos corta'!P21="Quema","Sí",(IF('2.2 Emisiones restos corta'!P21="Descomposición","No",(IF('2.2 Emisiones restos corta'!P21="Producto","No"," ")))))</f>
        <v xml:space="preserve"> </v>
      </c>
      <c r="N12" s="88" t="str">
        <f t="shared" si="2"/>
        <v>Bt-</v>
      </c>
      <c r="O12" s="176" t="str">
        <f>IF(I12="No",0,IF(I12="Sí",((INDEX(Dades_PA!$B$101:$Y$127,(MATCH(F12,Dades_PA!$A$101:$A$127,0)),(MATCH(J12,Dades_PA!$B$100:$Y$100,0))))*((Dades_PA!$B$131))*H12*1000),""))</f>
        <v/>
      </c>
      <c r="P12" s="176" t="str">
        <f>IF(I12="No",0,IF(I12="Sí",((INDEX(Dades_PA!$B$101:$Y$127,(MATCH(F12,Dades_PA!$A$101:$A$127,0)),(MATCH(J12,Dades_PA!$B$100:$Y$100,0))))*((Dades_PA!$C$131))*H12*1000),""))</f>
        <v/>
      </c>
      <c r="Q12" s="176" t="str">
        <f>IF(K12="No",0,IF(K12="Sí",((INDEX(Dades_PA!$B$101:$Y$127,(MATCH(F12,Dades_PA!$A$101:$A$127,0)),(MATCH(L12,Dades_PA!$B$100:$Y$100,0))))*((Dades_PA!$B$131))*H12*1000),""))</f>
        <v/>
      </c>
      <c r="R12" s="176" t="str">
        <f>IF(K12="No",0,IF(K12="Sí",((INDEX(Dades_PA!$B$101:$Y$127,(MATCH(F12,Dades_PA!$A$101:$A$127,0)),(MATCH(L12,Dades_PA!$B$100:$Y$100,0))))*((Dades_PA!$C$131))*H12*1000),""))</f>
        <v/>
      </c>
      <c r="S12" s="176" t="str">
        <f>IF(M12="No",0,IF(M12="Sí",((INDEX(Dades_PA!$B$101:$Y$127,(MATCH(F12,Dades_PA!$A$101:$A$127,0)),(MATCH(N12,Dades_PA!$B$100:$Y$100,0))))*((Dades_PA!$B$131))*H12*1000),""))</f>
        <v/>
      </c>
      <c r="T12" s="176" t="str">
        <f>IF(M12="No",0,IF(M12="Sí",((INDEX(Dades_PA!$B$101:$Y$127,(MATCH(F12,Dades_PA!$A$101:$A$127,0)),(MATCH(N12,Dades_PA!$B$100:$Y$100,0))))*((Dades_PA!$C$131))*H12*1000),""))</f>
        <v/>
      </c>
      <c r="U12" s="179" t="str">
        <f>IFERROR(((((O12+Q12+S12)*Dades_PA!$B$135)+((P12+R12+T12)*Dades_PA!$B$136))/1000),"")</f>
        <v/>
      </c>
    </row>
    <row r="13" spans="1:22" ht="15.75" customHeight="1" x14ac:dyDescent="0.25">
      <c r="E13" s="316"/>
      <c r="F13" s="171" t="str">
        <f>IF('2.1 Absorciones árboles'!E13=0,"",'2.1 Absorciones árboles'!E13)</f>
        <v/>
      </c>
      <c r="G13" s="178" t="str">
        <f t="shared" si="3"/>
        <v/>
      </c>
      <c r="H13" s="177" t="str">
        <f>IF('2.2 Emisiones restos corta'!I22="","",'2.2 Emisiones restos corta'!I22)</f>
        <v/>
      </c>
      <c r="I13" s="88" t="str">
        <f>IF('2.2 Emisiones restos corta'!L22="Quema","Sí",(IF('2.2 Emisiones restos corta'!L22="Descomposición","No",(IF('2.2 Emisiones restos corta'!L22="Producto","No"," ")))))</f>
        <v xml:space="preserve"> </v>
      </c>
      <c r="J13" s="88" t="str">
        <f t="shared" si="0"/>
        <v>Bb&lt;2iBf-</v>
      </c>
      <c r="K13" s="88" t="str">
        <f>IF('2.2 Emisiones restos corta'!N22="Quema","Sí",(IF('2.2 Emisiones restos corta'!N22="Descomposición","No",(IF('2.2 Emisiones restos corta'!N22="Producto","No"," ")))))</f>
        <v xml:space="preserve"> </v>
      </c>
      <c r="L13" s="88" t="str">
        <f t="shared" si="1"/>
        <v>Bb&gt;2-</v>
      </c>
      <c r="M13" s="88" t="str">
        <f>IF('2.2 Emisiones restos corta'!P22="Quema","Sí",(IF('2.2 Emisiones restos corta'!P22="Descomposición","No",(IF('2.2 Emisiones restos corta'!P22="Producto","No"," ")))))</f>
        <v xml:space="preserve"> </v>
      </c>
      <c r="N13" s="88" t="str">
        <f t="shared" si="2"/>
        <v>Bt-</v>
      </c>
      <c r="O13" s="176" t="str">
        <f>IF(I13="No",0,IF(I13="Sí",((INDEX(Dades_PA!$B$101:$Y$127,(MATCH(F13,Dades_PA!$A$101:$A$127,0)),(MATCH(J13,Dades_PA!$B$100:$Y$100,0))))*((Dades_PA!$B$131))*H13*1000),""))</f>
        <v/>
      </c>
      <c r="P13" s="176" t="str">
        <f>IF(I13="No",0,IF(I13="Sí",((INDEX(Dades_PA!$B$101:$Y$127,(MATCH(F13,Dades_PA!$A$101:$A$127,0)),(MATCH(J13,Dades_PA!$B$100:$Y$100,0))))*((Dades_PA!$C$131))*H13*1000),""))</f>
        <v/>
      </c>
      <c r="Q13" s="176" t="str">
        <f>IF(K13="No",0,IF(K13="Sí",((INDEX(Dades_PA!$B$101:$Y$127,(MATCH(F13,Dades_PA!$A$101:$A$127,0)),(MATCH(L13,Dades_PA!$B$100:$Y$100,0))))*((Dades_PA!$B$131))*H13*1000),""))</f>
        <v/>
      </c>
      <c r="R13" s="176" t="str">
        <f>IF(K13="No",0,IF(K13="Sí",((INDEX(Dades_PA!$B$101:$Y$127,(MATCH(F13,Dades_PA!$A$101:$A$127,0)),(MATCH(L13,Dades_PA!$B$100:$Y$100,0))))*((Dades_PA!$C$131))*H13*1000),""))</f>
        <v/>
      </c>
      <c r="S13" s="176" t="str">
        <f>IF(M13="No",0,IF(M13="Sí",((INDEX(Dades_PA!$B$101:$Y$127,(MATCH(F13,Dades_PA!$A$101:$A$127,0)),(MATCH(N13,Dades_PA!$B$100:$Y$100,0))))*((Dades_PA!$B$131))*H13*1000),""))</f>
        <v/>
      </c>
      <c r="T13" s="176" t="str">
        <f>IF(M13="No",0,IF(M13="Sí",((INDEX(Dades_PA!$B$101:$Y$127,(MATCH(F13,Dades_PA!$A$101:$A$127,0)),(MATCH(N13,Dades_PA!$B$100:$Y$100,0))))*((Dades_PA!$C$131))*H13*1000),""))</f>
        <v/>
      </c>
      <c r="U13" s="179" t="str">
        <f>IFERROR(((((O13+Q13+S13)*Dades_PA!$B$135)+((P13+R13+T13)*Dades_PA!$B$136))/1000),"")</f>
        <v/>
      </c>
    </row>
    <row r="14" spans="1:22" ht="15.75" customHeight="1" x14ac:dyDescent="0.25">
      <c r="E14" s="316"/>
      <c r="F14" s="171" t="str">
        <f>IF('2.1 Absorciones árboles'!E14=0,"",'2.1 Absorciones árboles'!E14)</f>
        <v/>
      </c>
      <c r="G14" s="178" t="str">
        <f t="shared" si="3"/>
        <v/>
      </c>
      <c r="H14" s="177" t="str">
        <f>IF('2.2 Emisiones restos corta'!I23="","",'2.2 Emisiones restos corta'!I23)</f>
        <v/>
      </c>
      <c r="I14" s="88" t="str">
        <f>IF('2.2 Emisiones restos corta'!L23="Quema","Sí",(IF('2.2 Emisiones restos corta'!L23="Descomposición","No",(IF('2.2 Emisiones restos corta'!L23="Producto","No"," ")))))</f>
        <v xml:space="preserve"> </v>
      </c>
      <c r="J14" s="88" t="str">
        <f t="shared" si="0"/>
        <v>Bb&lt;2iBf-</v>
      </c>
      <c r="K14" s="88" t="str">
        <f>IF('2.2 Emisiones restos corta'!N23="Quema","Sí",(IF('2.2 Emisiones restos corta'!N23="Descomposición","No",(IF('2.2 Emisiones restos corta'!N23="Producto","No"," ")))))</f>
        <v xml:space="preserve"> </v>
      </c>
      <c r="L14" s="88" t="str">
        <f t="shared" si="1"/>
        <v>Bb&gt;2-</v>
      </c>
      <c r="M14" s="88" t="str">
        <f>IF('2.2 Emisiones restos corta'!P23="Quema","Sí",(IF('2.2 Emisiones restos corta'!P23="Descomposición","No",(IF('2.2 Emisiones restos corta'!P23="Producto","No"," ")))))</f>
        <v xml:space="preserve"> </v>
      </c>
      <c r="N14" s="88" t="str">
        <f t="shared" si="2"/>
        <v>Bt-</v>
      </c>
      <c r="O14" s="176" t="str">
        <f>IF(I14="No",0,IF(I14="Sí",((INDEX(Dades_PA!$B$101:$Y$127,(MATCH(F14,Dades_PA!$A$101:$A$127,0)),(MATCH(J14,Dades_PA!$B$100:$Y$100,0))))*((Dades_PA!$B$131))*H14*1000),""))</f>
        <v/>
      </c>
      <c r="P14" s="176" t="str">
        <f>IF(I14="No",0,IF(I14="Sí",((INDEX(Dades_PA!$B$101:$Y$127,(MATCH(F14,Dades_PA!$A$101:$A$127,0)),(MATCH(J14,Dades_PA!$B$100:$Y$100,0))))*((Dades_PA!$C$131))*H14*1000),""))</f>
        <v/>
      </c>
      <c r="Q14" s="176" t="str">
        <f>IF(K14="No",0,IF(K14="Sí",((INDEX(Dades_PA!$B$101:$Y$127,(MATCH(F14,Dades_PA!$A$101:$A$127,0)),(MATCH(L14,Dades_PA!$B$100:$Y$100,0))))*((Dades_PA!$B$131))*H14*1000),""))</f>
        <v/>
      </c>
      <c r="R14" s="176" t="str">
        <f>IF(K14="No",0,IF(K14="Sí",((INDEX(Dades_PA!$B$101:$Y$127,(MATCH(F14,Dades_PA!$A$101:$A$127,0)),(MATCH(L14,Dades_PA!$B$100:$Y$100,0))))*((Dades_PA!$C$131))*H14*1000),""))</f>
        <v/>
      </c>
      <c r="S14" s="176" t="str">
        <f>IF(M14="No",0,IF(M14="Sí",((INDEX(Dades_PA!$B$101:$Y$127,(MATCH(F14,Dades_PA!$A$101:$A$127,0)),(MATCH(N14,Dades_PA!$B$100:$Y$100,0))))*((Dades_PA!$B$131))*H14*1000),""))</f>
        <v/>
      </c>
      <c r="T14" s="176" t="str">
        <f>IF(M14="No",0,IF(M14="Sí",((INDEX(Dades_PA!$B$101:$Y$127,(MATCH(F14,Dades_PA!$A$101:$A$127,0)),(MATCH(N14,Dades_PA!$B$100:$Y$100,0))))*((Dades_PA!$C$131))*H14*1000),""))</f>
        <v/>
      </c>
      <c r="U14" s="179" t="str">
        <f>IFERROR(((((O14+Q14+S14)*Dades_PA!$B$135)+((P14+R14+T14)*Dades_PA!$B$136))/1000),"")</f>
        <v/>
      </c>
    </row>
    <row r="15" spans="1:22" ht="15.75" customHeight="1" x14ac:dyDescent="0.25">
      <c r="E15" s="316"/>
      <c r="F15" s="171" t="str">
        <f>IF('2.1 Absorciones árboles'!E15=0,"",'2.1 Absorciones árboles'!E15)</f>
        <v/>
      </c>
      <c r="G15" s="178" t="str">
        <f t="shared" si="3"/>
        <v/>
      </c>
      <c r="H15" s="177" t="str">
        <f>IF('2.2 Emisiones restos corta'!I24="","",'2.2 Emisiones restos corta'!I24)</f>
        <v/>
      </c>
      <c r="I15" s="88" t="str">
        <f>IF('2.2 Emisiones restos corta'!L24="Quema","Sí",(IF('2.2 Emisiones restos corta'!L24="Descomposición","No",(IF('2.2 Emisiones restos corta'!L24="Producto","No"," ")))))</f>
        <v xml:space="preserve"> </v>
      </c>
      <c r="J15" s="88" t="str">
        <f t="shared" si="0"/>
        <v>Bb&lt;2iBf-</v>
      </c>
      <c r="K15" s="88" t="str">
        <f>IF('2.2 Emisiones restos corta'!N24="Quema","Sí",(IF('2.2 Emisiones restos corta'!N24="Descomposición","No",(IF('2.2 Emisiones restos corta'!N24="Producto","No"," ")))))</f>
        <v xml:space="preserve"> </v>
      </c>
      <c r="L15" s="88" t="str">
        <f t="shared" si="1"/>
        <v>Bb&gt;2-</v>
      </c>
      <c r="M15" s="88" t="str">
        <f>IF('2.2 Emisiones restos corta'!P24="Quema","Sí",(IF('2.2 Emisiones restos corta'!P24="Descomposición","No",(IF('2.2 Emisiones restos corta'!P24="Producto","No"," ")))))</f>
        <v xml:space="preserve"> </v>
      </c>
      <c r="N15" s="88" t="str">
        <f t="shared" si="2"/>
        <v>Bt-</v>
      </c>
      <c r="O15" s="176" t="str">
        <f>IF(I15="No",0,IF(I15="Sí",((INDEX(Dades_PA!$B$101:$Y$127,(MATCH(F15,Dades_PA!$A$101:$A$127,0)),(MATCH(J15,Dades_PA!$B$100:$Y$100,0))))*((Dades_PA!$B$131))*H15*1000),""))</f>
        <v/>
      </c>
      <c r="P15" s="176" t="str">
        <f>IF(I15="No",0,IF(I15="Sí",((INDEX(Dades_PA!$B$101:$Y$127,(MATCH(F15,Dades_PA!$A$101:$A$127,0)),(MATCH(J15,Dades_PA!$B$100:$Y$100,0))))*((Dades_PA!$C$131))*H15*1000),""))</f>
        <v/>
      </c>
      <c r="Q15" s="176" t="str">
        <f>IF(K15="No",0,IF(K15="Sí",((INDEX(Dades_PA!$B$101:$Y$127,(MATCH(F15,Dades_PA!$A$101:$A$127,0)),(MATCH(L15,Dades_PA!$B$100:$Y$100,0))))*((Dades_PA!$B$131))*H15*1000),""))</f>
        <v/>
      </c>
      <c r="R15" s="176" t="str">
        <f>IF(K15="No",0,IF(K15="Sí",((INDEX(Dades_PA!$B$101:$Y$127,(MATCH(F15,Dades_PA!$A$101:$A$127,0)),(MATCH(L15,Dades_PA!$B$100:$Y$100,0))))*((Dades_PA!$C$131))*H15*1000),""))</f>
        <v/>
      </c>
      <c r="S15" s="176" t="str">
        <f>IF(M15="No",0,IF(M15="Sí",((INDEX(Dades_PA!$B$101:$Y$127,(MATCH(F15,Dades_PA!$A$101:$A$127,0)),(MATCH(N15,Dades_PA!$B$100:$Y$100,0))))*((Dades_PA!$B$131))*H15*1000),""))</f>
        <v/>
      </c>
      <c r="T15" s="176" t="str">
        <f>IF(M15="No",0,IF(M15="Sí",((INDEX(Dades_PA!$B$101:$Y$127,(MATCH(F15,Dades_PA!$A$101:$A$127,0)),(MATCH(N15,Dades_PA!$B$100:$Y$100,0))))*((Dades_PA!$C$131))*H15*1000),""))</f>
        <v/>
      </c>
      <c r="U15" s="179" t="str">
        <f>IFERROR(((((O15+Q15+S15)*Dades_PA!$B$135)+((P15+R15+T15)*Dades_PA!$B$136))/1000),"")</f>
        <v/>
      </c>
    </row>
    <row r="16" spans="1:22" ht="15.75" customHeight="1" thickBot="1" x14ac:dyDescent="0.3">
      <c r="E16" s="317"/>
      <c r="F16" s="172" t="str">
        <f>IF('2.1 Absorciones árboles'!E16=0,"",'2.1 Absorciones árboles'!E16)</f>
        <v/>
      </c>
      <c r="G16" s="188" t="str">
        <f t="shared" si="3"/>
        <v/>
      </c>
      <c r="H16" s="189" t="str">
        <f>IF('2.2 Emisiones restos corta'!I25="","",'2.2 Emisiones restos corta'!I25)</f>
        <v/>
      </c>
      <c r="I16" s="92" t="str">
        <f>IF('2.2 Emisiones restos corta'!L25="Quema","Sí",(IF('2.2 Emisiones restos corta'!L25="Descomposición","No",(IF('2.2 Emisiones restos corta'!L25="Producto","No"," ")))))</f>
        <v xml:space="preserve"> </v>
      </c>
      <c r="J16" s="92" t="str">
        <f t="shared" si="0"/>
        <v>Bb&lt;2iBf-</v>
      </c>
      <c r="K16" s="92" t="str">
        <f>IF('2.2 Emisiones restos corta'!N25="Quema","Sí",(IF('2.2 Emisiones restos corta'!N25="Descomposición","No",(IF('2.2 Emisiones restos corta'!N25="Producto","No"," ")))))</f>
        <v xml:space="preserve"> </v>
      </c>
      <c r="L16" s="92" t="str">
        <f t="shared" si="1"/>
        <v>Bb&gt;2-</v>
      </c>
      <c r="M16" s="92" t="str">
        <f>IF('2.2 Emisiones restos corta'!P25="Quema","Sí",(IF('2.2 Emisiones restos corta'!P25="Descomposición","No",(IF('2.2 Emisiones restos corta'!P25="Producto","No"," ")))))</f>
        <v xml:space="preserve"> </v>
      </c>
      <c r="N16" s="92" t="str">
        <f t="shared" si="2"/>
        <v>Bt-</v>
      </c>
      <c r="O16" s="190" t="str">
        <f>IF(I16="No",0,IF(I16="Sí",((INDEX(Dades_PA!$B$101:$Y$127,(MATCH(F16,Dades_PA!$A$101:$A$127,0)),(MATCH(J16,Dades_PA!$B$100:$Y$100,0))))*((Dades_PA!$B$131))*H16*1000),""))</f>
        <v/>
      </c>
      <c r="P16" s="190" t="str">
        <f>IF(I16="No",0,IF(I16="Sí",((INDEX(Dades_PA!$B$101:$Y$127,(MATCH(F16,Dades_PA!$A$101:$A$127,0)),(MATCH(J16,Dades_PA!$B$100:$Y$100,0))))*((Dades_PA!$C$131))*H16*1000),""))</f>
        <v/>
      </c>
      <c r="Q16" s="190" t="str">
        <f>IF(K16="No",0,IF(K16="Sí",((INDEX(Dades_PA!$B$101:$Y$127,(MATCH(F16,Dades_PA!$A$101:$A$127,0)),(MATCH(L16,Dades_PA!$B$100:$Y$100,0))))*((Dades_PA!$B$131))*H16*1000),""))</f>
        <v/>
      </c>
      <c r="R16" s="190" t="str">
        <f>IF(K16="No",0,IF(K16="Sí",((INDEX(Dades_PA!$B$101:$Y$127,(MATCH(F16,Dades_PA!$A$101:$A$127,0)),(MATCH(L16,Dades_PA!$B$100:$Y$100,0))))*((Dades_PA!$C$131))*H16*1000),""))</f>
        <v/>
      </c>
      <c r="S16" s="190" t="str">
        <f>IF(M16="No",0,IF(M16="Sí",((INDEX(Dades_PA!$B$101:$Y$127,(MATCH(F16,Dades_PA!$A$101:$A$127,0)),(MATCH(N16,Dades_PA!$B$100:$Y$100,0))))*((Dades_PA!$B$131))*H16*1000),""))</f>
        <v/>
      </c>
      <c r="T16" s="190" t="str">
        <f>IF(M16="No",0,IF(M16="Sí",((INDEX(Dades_PA!$B$101:$Y$127,(MATCH(F16,Dades_PA!$A$101:$A$127,0)),(MATCH(N16,Dades_PA!$B$100:$Y$100,0))))*((Dades_PA!$C$131))*H16*1000),""))</f>
        <v/>
      </c>
      <c r="U16" s="191" t="str">
        <f>IFERROR(((((O16+Q16+S16)*Dades_PA!$B$135)+((P16+R16+T16)*Dades_PA!$B$136))/1000),"")</f>
        <v/>
      </c>
    </row>
    <row r="17" spans="2:24" ht="15.75" customHeight="1" x14ac:dyDescent="0.25">
      <c r="E17" s="315" t="str">
        <f>IF(('1. Datos generales del proyecto'!D32)="","",('1. Datos generales del proyecto'!D32))</f>
        <v/>
      </c>
      <c r="F17" s="170" t="str">
        <f>IF('2.1 Absorciones árboles'!E17=0,"",'2.1 Absorciones árboles'!E17)</f>
        <v/>
      </c>
      <c r="G17" s="185" t="str">
        <f>IF(('2.1 Absorciones árboles'!H17&gt;0),('2.1 Absorciones árboles'!H17),"")</f>
        <v/>
      </c>
      <c r="H17" s="186" t="str">
        <f>IF('2.2 Emisiones restos corta'!I26="","",'2.2 Emisiones restos corta'!I26)</f>
        <v/>
      </c>
      <c r="I17" s="84" t="str">
        <f>IF('2.2 Emisiones restos corta'!L26="Quema","Sí",(IF('2.2 Emisiones restos corta'!L26="Descomposición","No",(IF('2.2 Emisiones restos corta'!L26="Producto","No"," ")))))</f>
        <v xml:space="preserve"> </v>
      </c>
      <c r="J17" s="84" t="str">
        <f t="shared" si="0"/>
        <v>Bb&lt;2iBf-</v>
      </c>
      <c r="K17" s="84" t="str">
        <f>IF('2.2 Emisiones restos corta'!N26="Quema","Sí",(IF('2.2 Emisiones restos corta'!N26="Descomposición","No",(IF('2.2 Emisiones restos corta'!N26="Producto","No"," ")))))</f>
        <v xml:space="preserve"> </v>
      </c>
      <c r="L17" s="84" t="str">
        <f t="shared" si="1"/>
        <v>Bb&gt;2-</v>
      </c>
      <c r="M17" s="84" t="str">
        <f>IF('2.2 Emisiones restos corta'!P26="Quema","Sí",(IF('2.2 Emisiones restos corta'!P26="Descomposición","No",(IF('2.2 Emisiones restos corta'!P26="Producto","No"," ")))))</f>
        <v xml:space="preserve"> </v>
      </c>
      <c r="N17" s="84" t="str">
        <f t="shared" si="2"/>
        <v>Bt-</v>
      </c>
      <c r="O17" s="170" t="str">
        <f>IF(I17="No",0,IF(I17="Sí",((INDEX(Dades_PA!$B$101:$Y$127,(MATCH(F17,Dades_PA!$A$101:$A$127,0)),(MATCH(J17,Dades_PA!$B$100:$Y$100,0))))*((Dades_PA!$B$131))*H17*1000),""))</f>
        <v/>
      </c>
      <c r="P17" s="170" t="str">
        <f>IF(I17="No",0,IF(I17="Sí",((INDEX(Dades_PA!$B$101:$Y$127,(MATCH(F17,Dades_PA!$A$101:$A$127,0)),(MATCH(J17,Dades_PA!$B$100:$Y$100,0))))*((Dades_PA!$C$131))*H17*1000),""))</f>
        <v/>
      </c>
      <c r="Q17" s="170" t="str">
        <f>IF(K17="No",0,IF(K17="Sí",((INDEX(Dades_PA!$B$101:$Y$127,(MATCH(F17,Dades_PA!$A$101:$A$127,0)),(MATCH(L17,Dades_PA!$B$100:$Y$100,0))))*((Dades_PA!$B$131))*H17*1000),""))</f>
        <v/>
      </c>
      <c r="R17" s="170" t="str">
        <f>IF(K17="No",0,IF(K17="Sí",((INDEX(Dades_PA!$B$101:$Y$127,(MATCH(F17,Dades_PA!$A$101:$A$127,0)),(MATCH(L17,Dades_PA!$B$100:$Y$100,0))))*((Dades_PA!$C$131))*H17*1000),""))</f>
        <v/>
      </c>
      <c r="S17" s="170" t="str">
        <f>IF(M17="No",0,IF(M17="Sí",((INDEX(Dades_PA!$B$101:$Y$127,(MATCH(F17,Dades_PA!$A$101:$A$127,0)),(MATCH(N17,Dades_PA!$B$100:$Y$100,0))))*((Dades_PA!$B$131))*H17*1000),""))</f>
        <v/>
      </c>
      <c r="T17" s="170" t="str">
        <f>IF(M17="No",0,IF(M17="Sí",((INDEX(Dades_PA!$B$101:$Y$127,(MATCH(F17,Dades_PA!$A$101:$A$127,0)),(MATCH(N17,Dades_PA!$B$100:$Y$100,0))))*((Dades_PA!$C$131))*H17*1000),""))</f>
        <v/>
      </c>
      <c r="U17" s="187" t="str">
        <f>IFERROR(((((O17+Q17+S17)*Dades_PA!$B$135)+((P17+R17+T17)*Dades_PA!$B$136))/1000),"")</f>
        <v/>
      </c>
    </row>
    <row r="18" spans="2:24" ht="15.75" customHeight="1" x14ac:dyDescent="0.25">
      <c r="E18" s="316"/>
      <c r="F18" s="171" t="str">
        <f>IF('2.1 Absorciones árboles'!E18=0,"",'2.1 Absorciones árboles'!E18)</f>
        <v/>
      </c>
      <c r="G18" s="178" t="str">
        <f>$G$17</f>
        <v/>
      </c>
      <c r="H18" s="177" t="str">
        <f>IF('2.2 Emisiones restos corta'!I27="","",'2.2 Emisiones restos corta'!I27)</f>
        <v/>
      </c>
      <c r="I18" s="88" t="str">
        <f>IF('2.2 Emisiones restos corta'!L27="Quema","Sí",(IF('2.2 Emisiones restos corta'!L27="Descomposición","No",(IF('2.2 Emisiones restos corta'!L27="Producto","No"," ")))))</f>
        <v xml:space="preserve"> </v>
      </c>
      <c r="J18" s="88" t="str">
        <f t="shared" si="0"/>
        <v>Bb&lt;2iBf-</v>
      </c>
      <c r="K18" s="88" t="str">
        <f>IF('2.2 Emisiones restos corta'!N27="Quema","Sí",(IF('2.2 Emisiones restos corta'!N27="Descomposición","No",(IF('2.2 Emisiones restos corta'!N27="Producto","No"," ")))))</f>
        <v xml:space="preserve"> </v>
      </c>
      <c r="L18" s="88" t="str">
        <f t="shared" si="1"/>
        <v>Bb&gt;2-</v>
      </c>
      <c r="M18" s="88" t="str">
        <f>IF('2.2 Emisiones restos corta'!P27="Quema","Sí",(IF('2.2 Emisiones restos corta'!P27="Descomposición","No",(IF('2.2 Emisiones restos corta'!P27="Producto","No"," ")))))</f>
        <v xml:space="preserve"> </v>
      </c>
      <c r="N18" s="88" t="str">
        <f t="shared" si="2"/>
        <v>Bt-</v>
      </c>
      <c r="O18" s="176" t="str">
        <f>IF(I18="No",0,IF(I18="Sí",((INDEX(Dades_PA!$B$101:$Y$127,(MATCH(F18,Dades_PA!$A$101:$A$127,0)),(MATCH(J18,Dades_PA!$B$100:$Y$100,0))))*((Dades_PA!$B$131))*H18*1000),""))</f>
        <v/>
      </c>
      <c r="P18" s="176" t="str">
        <f>IF(I18="No",0,IF(I18="Sí",((INDEX(Dades_PA!$B$101:$Y$127,(MATCH(F18,Dades_PA!$A$101:$A$127,0)),(MATCH(J18,Dades_PA!$B$100:$Y$100,0))))*((Dades_PA!$C$131))*H18*1000),""))</f>
        <v/>
      </c>
      <c r="Q18" s="176" t="str">
        <f>IF(K18="No",0,IF(K18="Sí",((INDEX(Dades_PA!$B$101:$Y$127,(MATCH(F18,Dades_PA!$A$101:$A$127,0)),(MATCH(L18,Dades_PA!$B$100:$Y$100,0))))*((Dades_PA!$B$131))*H18*1000),""))</f>
        <v/>
      </c>
      <c r="R18" s="176" t="str">
        <f>IF(K18="No",0,IF(K18="Sí",((INDEX(Dades_PA!$B$101:$Y$127,(MATCH(F18,Dades_PA!$A$101:$A$127,0)),(MATCH(L18,Dades_PA!$B$100:$Y$100,0))))*((Dades_PA!$C$131))*H18*1000),""))</f>
        <v/>
      </c>
      <c r="S18" s="176" t="str">
        <f>IF(M18="No",0,IF(M18="Sí",((INDEX(Dades_PA!$B$101:$Y$127,(MATCH(F18,Dades_PA!$A$101:$A$127,0)),(MATCH(N18,Dades_PA!$B$100:$Y$100,0))))*((Dades_PA!$B$131))*H18*1000),""))</f>
        <v/>
      </c>
      <c r="T18" s="176" t="str">
        <f>IF(M18="No",0,IF(M18="Sí",((INDEX(Dades_PA!$B$101:$Y$127,(MATCH(F18,Dades_PA!$A$101:$A$127,0)),(MATCH(N18,Dades_PA!$B$100:$Y$100,0))))*((Dades_PA!$C$131))*H18*1000),""))</f>
        <v/>
      </c>
      <c r="U18" s="179" t="str">
        <f>IFERROR(((((O18+Q18+S18)*Dades_PA!$B$135)+((P18+R18+T18)*Dades_PA!$B$136))/1000),"")</f>
        <v/>
      </c>
    </row>
    <row r="19" spans="2:24" ht="15.75" customHeight="1" x14ac:dyDescent="0.25">
      <c r="E19" s="316"/>
      <c r="F19" s="171" t="str">
        <f>IF('2.1 Absorciones árboles'!E19=0,"",'2.1 Absorciones árboles'!E19)</f>
        <v/>
      </c>
      <c r="G19" s="178" t="str">
        <f t="shared" ref="G19:G26" si="4">$G$17</f>
        <v/>
      </c>
      <c r="H19" s="177" t="str">
        <f>IF('2.2 Emisiones restos corta'!I28="","",'2.2 Emisiones restos corta'!I28)</f>
        <v/>
      </c>
      <c r="I19" s="88" t="str">
        <f>IF('2.2 Emisiones restos corta'!L28="Quema","Sí",(IF('2.2 Emisiones restos corta'!L28="Descomposición","No",(IF('2.2 Emisiones restos corta'!L28="Producto","No"," ")))))</f>
        <v xml:space="preserve"> </v>
      </c>
      <c r="J19" s="88" t="str">
        <f t="shared" si="0"/>
        <v>Bb&lt;2iBf-</v>
      </c>
      <c r="K19" s="88" t="str">
        <f>IF('2.2 Emisiones restos corta'!N28="Quema","Sí",(IF('2.2 Emisiones restos corta'!N28="Descomposición","No",(IF('2.2 Emisiones restos corta'!N28="Producto","No"," ")))))</f>
        <v xml:space="preserve"> </v>
      </c>
      <c r="L19" s="88" t="str">
        <f t="shared" si="1"/>
        <v>Bb&gt;2-</v>
      </c>
      <c r="M19" s="88" t="str">
        <f>IF('2.2 Emisiones restos corta'!P28="Quema","Sí",(IF('2.2 Emisiones restos corta'!P28="Descomposición","No",(IF('2.2 Emisiones restos corta'!P28="Producto","No"," ")))))</f>
        <v xml:space="preserve"> </v>
      </c>
      <c r="N19" s="88" t="str">
        <f t="shared" si="2"/>
        <v>Bt-</v>
      </c>
      <c r="O19" s="176" t="str">
        <f>IF(I19="No",0,IF(I19="Sí",((INDEX(Dades_PA!$B$101:$Y$127,(MATCH(F19,Dades_PA!$A$101:$A$127,0)),(MATCH(J19,Dades_PA!$B$100:$Y$100,0))))*((Dades_PA!$B$131))*H19*1000),""))</f>
        <v/>
      </c>
      <c r="P19" s="176" t="str">
        <f>IF(I19="No",0,IF(I19="Sí",((INDEX(Dades_PA!$B$101:$Y$127,(MATCH(F19,Dades_PA!$A$101:$A$127,0)),(MATCH(J19,Dades_PA!$B$100:$Y$100,0))))*((Dades_PA!$C$131))*H19*1000),""))</f>
        <v/>
      </c>
      <c r="Q19" s="176" t="str">
        <f>IF(K19="No",0,IF(K19="Sí",((INDEX(Dades_PA!$B$101:$Y$127,(MATCH(F19,Dades_PA!$A$101:$A$127,0)),(MATCH(L19,Dades_PA!$B$100:$Y$100,0))))*((Dades_PA!$B$131))*H19*1000),""))</f>
        <v/>
      </c>
      <c r="R19" s="176" t="str">
        <f>IF(K19="No",0,IF(K19="Sí",((INDEX(Dades_PA!$B$101:$Y$127,(MATCH(F19,Dades_PA!$A$101:$A$127,0)),(MATCH(L19,Dades_PA!$B$100:$Y$100,0))))*((Dades_PA!$C$131))*H19*1000),""))</f>
        <v/>
      </c>
      <c r="S19" s="176" t="str">
        <f>IF(M19="No",0,IF(M19="Sí",((INDEX(Dades_PA!$B$101:$Y$127,(MATCH(F19,Dades_PA!$A$101:$A$127,0)),(MATCH(N19,Dades_PA!$B$100:$Y$100,0))))*((Dades_PA!$B$131))*H19*1000),""))</f>
        <v/>
      </c>
      <c r="T19" s="176" t="str">
        <f>IF(M19="No",0,IF(M19="Sí",((INDEX(Dades_PA!$B$101:$Y$127,(MATCH(F19,Dades_PA!$A$101:$A$127,0)),(MATCH(N19,Dades_PA!$B$100:$Y$100,0))))*((Dades_PA!$C$131))*H19*1000),""))</f>
        <v/>
      </c>
      <c r="U19" s="179" t="str">
        <f>IFERROR(((((O19+Q19+S19)*Dades_PA!$B$135)+((P19+R19+T19)*Dades_PA!$B$136))/1000),"")</f>
        <v/>
      </c>
    </row>
    <row r="20" spans="2:24" ht="15.75" customHeight="1" x14ac:dyDescent="0.25">
      <c r="E20" s="316"/>
      <c r="F20" s="171" t="str">
        <f>IF('2.1 Absorciones árboles'!E20=0,"",'2.1 Absorciones árboles'!E20)</f>
        <v/>
      </c>
      <c r="G20" s="178" t="str">
        <f t="shared" si="4"/>
        <v/>
      </c>
      <c r="H20" s="177" t="str">
        <f>IF('2.2 Emisiones restos corta'!I29="","",'2.2 Emisiones restos corta'!I29)</f>
        <v/>
      </c>
      <c r="I20" s="88" t="str">
        <f>IF('2.2 Emisiones restos corta'!L29="Quema","Sí",(IF('2.2 Emisiones restos corta'!L29="Descomposición","No",(IF('2.2 Emisiones restos corta'!L29="Producto","No"," ")))))</f>
        <v xml:space="preserve"> </v>
      </c>
      <c r="J20" s="88" t="str">
        <f t="shared" si="0"/>
        <v>Bb&lt;2iBf-</v>
      </c>
      <c r="K20" s="88" t="str">
        <f>IF('2.2 Emisiones restos corta'!N29="Quema","Sí",(IF('2.2 Emisiones restos corta'!N29="Descomposición","No",(IF('2.2 Emisiones restos corta'!N29="Producto","No"," ")))))</f>
        <v xml:space="preserve"> </v>
      </c>
      <c r="L20" s="88" t="str">
        <f t="shared" si="1"/>
        <v>Bb&gt;2-</v>
      </c>
      <c r="M20" s="88" t="str">
        <f>IF('2.2 Emisiones restos corta'!P29="Quema","Sí",(IF('2.2 Emisiones restos corta'!P29="Descomposición","No",(IF('2.2 Emisiones restos corta'!P29="Producto","No"," ")))))</f>
        <v xml:space="preserve"> </v>
      </c>
      <c r="N20" s="88" t="str">
        <f t="shared" si="2"/>
        <v>Bt-</v>
      </c>
      <c r="O20" s="176" t="str">
        <f>IF(I20="No",0,IF(I20="Sí",((INDEX(Dades_PA!$B$101:$Y$127,(MATCH(F20,Dades_PA!$A$101:$A$127,0)),(MATCH(J20,Dades_PA!$B$100:$Y$100,0))))*((Dades_PA!$B$131))*H20*1000),""))</f>
        <v/>
      </c>
      <c r="P20" s="176" t="str">
        <f>IF(I20="No",0,IF(I20="Sí",((INDEX(Dades_PA!$B$101:$Y$127,(MATCH(F20,Dades_PA!$A$101:$A$127,0)),(MATCH(J20,Dades_PA!$B$100:$Y$100,0))))*((Dades_PA!$C$131))*H20*1000),""))</f>
        <v/>
      </c>
      <c r="Q20" s="176" t="str">
        <f>IF(K20="No",0,IF(K20="Sí",((INDEX(Dades_PA!$B$101:$Y$127,(MATCH(F20,Dades_PA!$A$101:$A$127,0)),(MATCH(L20,Dades_PA!$B$100:$Y$100,0))))*((Dades_PA!$B$131))*H20*1000),""))</f>
        <v/>
      </c>
      <c r="R20" s="176" t="str">
        <f>IF(K20="No",0,IF(K20="Sí",((INDEX(Dades_PA!$B$101:$Y$127,(MATCH(F20,Dades_PA!$A$101:$A$127,0)),(MATCH(L20,Dades_PA!$B$100:$Y$100,0))))*((Dades_PA!$C$131))*H20*1000),""))</f>
        <v/>
      </c>
      <c r="S20" s="176" t="str">
        <f>IF(M20="No",0,IF(M20="Sí",((INDEX(Dades_PA!$B$101:$Y$127,(MATCH(F20,Dades_PA!$A$101:$A$127,0)),(MATCH(N20,Dades_PA!$B$100:$Y$100,0))))*((Dades_PA!$B$131))*H20*1000),""))</f>
        <v/>
      </c>
      <c r="T20" s="176" t="str">
        <f>IF(M20="No",0,IF(M20="Sí",((INDEX(Dades_PA!$B$101:$Y$127,(MATCH(F20,Dades_PA!$A$101:$A$127,0)),(MATCH(N20,Dades_PA!$B$100:$Y$100,0))))*((Dades_PA!$C$131))*H20*1000),""))</f>
        <v/>
      </c>
      <c r="U20" s="179" t="str">
        <f>IFERROR(((((O20+Q20+S20)*Dades_PA!$B$135)+((P20+R20+T20)*Dades_PA!$B$136))/1000),"")</f>
        <v/>
      </c>
    </row>
    <row r="21" spans="2:24" ht="15.75" customHeight="1" x14ac:dyDescent="0.25">
      <c r="E21" s="316"/>
      <c r="F21" s="171" t="str">
        <f>IF('2.1 Absorciones árboles'!E21=0,"",'2.1 Absorciones árboles'!E21)</f>
        <v/>
      </c>
      <c r="G21" s="178" t="str">
        <f t="shared" si="4"/>
        <v/>
      </c>
      <c r="H21" s="177" t="str">
        <f>IF('2.2 Emisiones restos corta'!I30="","",'2.2 Emisiones restos corta'!I30)</f>
        <v/>
      </c>
      <c r="I21" s="88" t="str">
        <f>IF('2.2 Emisiones restos corta'!L30="Quema","Sí",(IF('2.2 Emisiones restos corta'!L30="Descomposición","No",(IF('2.2 Emisiones restos corta'!L30="Producto","No"," ")))))</f>
        <v xml:space="preserve"> </v>
      </c>
      <c r="J21" s="88" t="str">
        <f t="shared" si="0"/>
        <v>Bb&lt;2iBf-</v>
      </c>
      <c r="K21" s="88" t="str">
        <f>IF('2.2 Emisiones restos corta'!N30="Quema","Sí",(IF('2.2 Emisiones restos corta'!N30="Descomposición","No",(IF('2.2 Emisiones restos corta'!N30="Producto","No"," ")))))</f>
        <v xml:space="preserve"> </v>
      </c>
      <c r="L21" s="88" t="str">
        <f t="shared" si="1"/>
        <v>Bb&gt;2-</v>
      </c>
      <c r="M21" s="88" t="str">
        <f>IF('2.2 Emisiones restos corta'!P30="Quema","Sí",(IF('2.2 Emisiones restos corta'!P30="Descomposición","No",(IF('2.2 Emisiones restos corta'!P30="Producto","No"," ")))))</f>
        <v xml:space="preserve"> </v>
      </c>
      <c r="N21" s="88" t="str">
        <f t="shared" si="2"/>
        <v>Bt-</v>
      </c>
      <c r="O21" s="176" t="str">
        <f>IF(I21="No",0,IF(I21="Sí",((INDEX(Dades_PA!$B$101:$Y$127,(MATCH(F21,Dades_PA!$A$101:$A$127,0)),(MATCH(J21,Dades_PA!$B$100:$Y$100,0))))*((Dades_PA!$B$131))*H21*1000),""))</f>
        <v/>
      </c>
      <c r="P21" s="176" t="str">
        <f>IF(I21="No",0,IF(I21="Sí",((INDEX(Dades_PA!$B$101:$Y$127,(MATCH(F21,Dades_PA!$A$101:$A$127,0)),(MATCH(J21,Dades_PA!$B$100:$Y$100,0))))*((Dades_PA!$C$131))*H21*1000),""))</f>
        <v/>
      </c>
      <c r="Q21" s="176" t="str">
        <f>IF(K21="No",0,IF(K21="Sí",((INDEX(Dades_PA!$B$101:$Y$127,(MATCH(F21,Dades_PA!$A$101:$A$127,0)),(MATCH(L21,Dades_PA!$B$100:$Y$100,0))))*((Dades_PA!$B$131))*H21*1000),""))</f>
        <v/>
      </c>
      <c r="R21" s="176" t="str">
        <f>IF(K21="No",0,IF(K21="Sí",((INDEX(Dades_PA!$B$101:$Y$127,(MATCH(F21,Dades_PA!$A$101:$A$127,0)),(MATCH(L21,Dades_PA!$B$100:$Y$100,0))))*((Dades_PA!$C$131))*H21*1000),""))</f>
        <v/>
      </c>
      <c r="S21" s="176" t="str">
        <f>IF(M21="No",0,IF(M21="Sí",((INDEX(Dades_PA!$B$101:$Y$127,(MATCH(F21,Dades_PA!$A$101:$A$127,0)),(MATCH(N21,Dades_PA!$B$100:$Y$100,0))))*((Dades_PA!$B$131))*H21*1000),""))</f>
        <v/>
      </c>
      <c r="T21" s="176" t="str">
        <f>IF(M21="No",0,IF(M21="Sí",((INDEX(Dades_PA!$B$101:$Y$127,(MATCH(F21,Dades_PA!$A$101:$A$127,0)),(MATCH(N21,Dades_PA!$B$100:$Y$100,0))))*((Dades_PA!$C$131))*H21*1000),""))</f>
        <v/>
      </c>
      <c r="U21" s="179" t="str">
        <f>IFERROR(((((O21+Q21+S21)*Dades_PA!$B$135)+((P21+R21+T21)*Dades_PA!$B$136))/1000),"")</f>
        <v/>
      </c>
    </row>
    <row r="22" spans="2:24" ht="15.75" customHeight="1" x14ac:dyDescent="0.25">
      <c r="E22" s="316"/>
      <c r="F22" s="171" t="str">
        <f>IF('2.1 Absorciones árboles'!E22=0,"",'2.1 Absorciones árboles'!E22)</f>
        <v/>
      </c>
      <c r="G22" s="178" t="str">
        <f t="shared" si="4"/>
        <v/>
      </c>
      <c r="H22" s="177" t="str">
        <f>IF('2.2 Emisiones restos corta'!I31="","",'2.2 Emisiones restos corta'!I31)</f>
        <v/>
      </c>
      <c r="I22" s="88" t="str">
        <f>IF('2.2 Emisiones restos corta'!L31="Quema","Sí",(IF('2.2 Emisiones restos corta'!L31="Descomposición","No",(IF('2.2 Emisiones restos corta'!L31="Producto","No"," ")))))</f>
        <v xml:space="preserve"> </v>
      </c>
      <c r="J22" s="88" t="str">
        <f t="shared" si="0"/>
        <v>Bb&lt;2iBf-</v>
      </c>
      <c r="K22" s="88" t="str">
        <f>IF('2.2 Emisiones restos corta'!N31="Quema","Sí",(IF('2.2 Emisiones restos corta'!N31="Descomposición","No",(IF('2.2 Emisiones restos corta'!N31="Producto","No"," ")))))</f>
        <v xml:space="preserve"> </v>
      </c>
      <c r="L22" s="88" t="str">
        <f t="shared" si="1"/>
        <v>Bb&gt;2-</v>
      </c>
      <c r="M22" s="88" t="str">
        <f>IF('2.2 Emisiones restos corta'!P31="Quema","Sí",(IF('2.2 Emisiones restos corta'!P31="Descomposición","No",(IF('2.2 Emisiones restos corta'!P31="Producto","No"," ")))))</f>
        <v xml:space="preserve"> </v>
      </c>
      <c r="N22" s="88" t="str">
        <f t="shared" si="2"/>
        <v>Bt-</v>
      </c>
      <c r="O22" s="176" t="str">
        <f>IF(I22="No",0,IF(I22="Sí",((INDEX(Dades_PA!$B$101:$Y$127,(MATCH(F22,Dades_PA!$A$101:$A$127,0)),(MATCH(J22,Dades_PA!$B$100:$Y$100,0))))*((Dades_PA!$B$131))*H22*1000),""))</f>
        <v/>
      </c>
      <c r="P22" s="176" t="str">
        <f>IF(I22="No",0,IF(I22="Sí",((INDEX(Dades_PA!$B$101:$Y$127,(MATCH(F22,Dades_PA!$A$101:$A$127,0)),(MATCH(J22,Dades_PA!$B$100:$Y$100,0))))*((Dades_PA!$C$131))*H22*1000),""))</f>
        <v/>
      </c>
      <c r="Q22" s="176" t="str">
        <f>IF(K22="No",0,IF(K22="Sí",((INDEX(Dades_PA!$B$101:$Y$127,(MATCH(F22,Dades_PA!$A$101:$A$127,0)),(MATCH(L22,Dades_PA!$B$100:$Y$100,0))))*((Dades_PA!$B$131))*H22*1000),""))</f>
        <v/>
      </c>
      <c r="R22" s="176" t="str">
        <f>IF(K22="No",0,IF(K22="Sí",((INDEX(Dades_PA!$B$101:$Y$127,(MATCH(F22,Dades_PA!$A$101:$A$127,0)),(MATCH(L22,Dades_PA!$B$100:$Y$100,0))))*((Dades_PA!$C$131))*H22*1000),""))</f>
        <v/>
      </c>
      <c r="S22" s="176" t="str">
        <f>IF(M22="No",0,IF(M22="Sí",((INDEX(Dades_PA!$B$101:$Y$127,(MATCH(F22,Dades_PA!$A$101:$A$127,0)),(MATCH(N22,Dades_PA!$B$100:$Y$100,0))))*((Dades_PA!$B$131))*H22*1000),""))</f>
        <v/>
      </c>
      <c r="T22" s="176" t="str">
        <f>IF(M22="No",0,IF(M22="Sí",((INDEX(Dades_PA!$B$101:$Y$127,(MATCH(F22,Dades_PA!$A$101:$A$127,0)),(MATCH(N22,Dades_PA!$B$100:$Y$100,0))))*((Dades_PA!$C$131))*H22*1000),""))</f>
        <v/>
      </c>
      <c r="U22" s="179" t="str">
        <f>IFERROR(((((O22+Q22+S22)*Dades_PA!$B$135)+((P22+R22+T22)*Dades_PA!$B$136))/1000),"")</f>
        <v/>
      </c>
    </row>
    <row r="23" spans="2:24" ht="15.75" customHeight="1" x14ac:dyDescent="0.25">
      <c r="E23" s="316"/>
      <c r="F23" s="171" t="str">
        <f>IF('2.1 Absorciones árboles'!E23=0,"",'2.1 Absorciones árboles'!E23)</f>
        <v/>
      </c>
      <c r="G23" s="178" t="str">
        <f t="shared" si="4"/>
        <v/>
      </c>
      <c r="H23" s="177" t="str">
        <f>IF('2.2 Emisiones restos corta'!I32="","",'2.2 Emisiones restos corta'!I32)</f>
        <v/>
      </c>
      <c r="I23" s="88" t="str">
        <f>IF('2.2 Emisiones restos corta'!L32="Quema","Sí",(IF('2.2 Emisiones restos corta'!L32="Descomposición","No",(IF('2.2 Emisiones restos corta'!L32="Producto","No"," ")))))</f>
        <v xml:space="preserve"> </v>
      </c>
      <c r="J23" s="88" t="str">
        <f t="shared" si="0"/>
        <v>Bb&lt;2iBf-</v>
      </c>
      <c r="K23" s="88" t="str">
        <f>IF('2.2 Emisiones restos corta'!N32="Quema","Sí",(IF('2.2 Emisiones restos corta'!N32="Descomposición","No",(IF('2.2 Emisiones restos corta'!N32="Producto","No"," ")))))</f>
        <v xml:space="preserve"> </v>
      </c>
      <c r="L23" s="88" t="str">
        <f t="shared" si="1"/>
        <v>Bb&gt;2-</v>
      </c>
      <c r="M23" s="88" t="str">
        <f>IF('2.2 Emisiones restos corta'!P32="Quema","Sí",(IF('2.2 Emisiones restos corta'!P32="Descomposición","No",(IF('2.2 Emisiones restos corta'!P32="Producto","No"," ")))))</f>
        <v xml:space="preserve"> </v>
      </c>
      <c r="N23" s="88" t="str">
        <f t="shared" si="2"/>
        <v>Bt-</v>
      </c>
      <c r="O23" s="176" t="str">
        <f>IF(I23="No",0,IF(I23="Sí",((INDEX(Dades_PA!$B$101:$Y$127,(MATCH(F23,Dades_PA!$A$101:$A$127,0)),(MATCH(J23,Dades_PA!$B$100:$Y$100,0))))*((Dades_PA!$B$131))*H23*1000),""))</f>
        <v/>
      </c>
      <c r="P23" s="176" t="str">
        <f>IF(I23="No",0,IF(I23="Sí",((INDEX(Dades_PA!$B$101:$Y$127,(MATCH(F23,Dades_PA!$A$101:$A$127,0)),(MATCH(J23,Dades_PA!$B$100:$Y$100,0))))*((Dades_PA!$C$131))*H23*1000),""))</f>
        <v/>
      </c>
      <c r="Q23" s="176" t="str">
        <f>IF(K23="No",0,IF(K23="Sí",((INDEX(Dades_PA!$B$101:$Y$127,(MATCH(F23,Dades_PA!$A$101:$A$127,0)),(MATCH(L23,Dades_PA!$B$100:$Y$100,0))))*((Dades_PA!$B$131))*H23*1000),""))</f>
        <v/>
      </c>
      <c r="R23" s="176" t="str">
        <f>IF(K23="No",0,IF(K23="Sí",((INDEX(Dades_PA!$B$101:$Y$127,(MATCH(F23,Dades_PA!$A$101:$A$127,0)),(MATCH(L23,Dades_PA!$B$100:$Y$100,0))))*((Dades_PA!$C$131))*H23*1000),""))</f>
        <v/>
      </c>
      <c r="S23" s="176" t="str">
        <f>IF(M23="No",0,IF(M23="Sí",((INDEX(Dades_PA!$B$101:$Y$127,(MATCH(F23,Dades_PA!$A$101:$A$127,0)),(MATCH(N23,Dades_PA!$B$100:$Y$100,0))))*((Dades_PA!$B$131))*H23*1000),""))</f>
        <v/>
      </c>
      <c r="T23" s="176" t="str">
        <f>IF(M23="No",0,IF(M23="Sí",((INDEX(Dades_PA!$B$101:$Y$127,(MATCH(F23,Dades_PA!$A$101:$A$127,0)),(MATCH(N23,Dades_PA!$B$100:$Y$100,0))))*((Dades_PA!$C$131))*H23*1000),""))</f>
        <v/>
      </c>
      <c r="U23" s="179" t="str">
        <f>IFERROR(((((O23+Q23+S23)*Dades_PA!$B$135)+((P23+R23+T23)*Dades_PA!$B$136))/1000),"")</f>
        <v/>
      </c>
    </row>
    <row r="24" spans="2:24" ht="15.75" customHeight="1" x14ac:dyDescent="0.25">
      <c r="E24" s="316"/>
      <c r="F24" s="171" t="str">
        <f>IF('2.1 Absorciones árboles'!E24=0,"",'2.1 Absorciones árboles'!E24)</f>
        <v/>
      </c>
      <c r="G24" s="178" t="str">
        <f t="shared" si="4"/>
        <v/>
      </c>
      <c r="H24" s="177" t="str">
        <f>IF('2.2 Emisiones restos corta'!I33="","",'2.2 Emisiones restos corta'!I33)</f>
        <v/>
      </c>
      <c r="I24" s="88" t="str">
        <f>IF('2.2 Emisiones restos corta'!L33="Quema","Sí",(IF('2.2 Emisiones restos corta'!L33="Descomposición","No",(IF('2.2 Emisiones restos corta'!L33="Producto","No"," ")))))</f>
        <v xml:space="preserve"> </v>
      </c>
      <c r="J24" s="88" t="str">
        <f t="shared" si="0"/>
        <v>Bb&lt;2iBf-</v>
      </c>
      <c r="K24" s="88" t="str">
        <f>IF('2.2 Emisiones restos corta'!N33="Quema","Sí",(IF('2.2 Emisiones restos corta'!N33="Descomposición","No",(IF('2.2 Emisiones restos corta'!N33="Producto","No"," ")))))</f>
        <v xml:space="preserve"> </v>
      </c>
      <c r="L24" s="88" t="str">
        <f t="shared" si="1"/>
        <v>Bb&gt;2-</v>
      </c>
      <c r="M24" s="88" t="str">
        <f>IF('2.2 Emisiones restos corta'!P33="Quema","Sí",(IF('2.2 Emisiones restos corta'!P33="Descomposición","No",(IF('2.2 Emisiones restos corta'!P33="Producto","No"," ")))))</f>
        <v xml:space="preserve"> </v>
      </c>
      <c r="N24" s="88" t="str">
        <f t="shared" si="2"/>
        <v>Bt-</v>
      </c>
      <c r="O24" s="176" t="str">
        <f>IF(I24="No",0,IF(I24="Sí",((INDEX(Dades_PA!$B$101:$Y$127,(MATCH(F24,Dades_PA!$A$101:$A$127,0)),(MATCH(J24,Dades_PA!$B$100:$Y$100,0))))*((Dades_PA!$B$131))*H24*1000),""))</f>
        <v/>
      </c>
      <c r="P24" s="176" t="str">
        <f>IF(I24="No",0,IF(I24="Sí",((INDEX(Dades_PA!$B$101:$Y$127,(MATCH(F24,Dades_PA!$A$101:$A$127,0)),(MATCH(J24,Dades_PA!$B$100:$Y$100,0))))*((Dades_PA!$C$131))*H24*1000),""))</f>
        <v/>
      </c>
      <c r="Q24" s="176" t="str">
        <f>IF(K24="No",0,IF(K24="Sí",((INDEX(Dades_PA!$B$101:$Y$127,(MATCH(F24,Dades_PA!$A$101:$A$127,0)),(MATCH(L24,Dades_PA!$B$100:$Y$100,0))))*((Dades_PA!$B$131))*H24*1000),""))</f>
        <v/>
      </c>
      <c r="R24" s="176" t="str">
        <f>IF(K24="No",0,IF(K24="Sí",((INDEX(Dades_PA!$B$101:$Y$127,(MATCH(F24,Dades_PA!$A$101:$A$127,0)),(MATCH(L24,Dades_PA!$B$100:$Y$100,0))))*((Dades_PA!$C$131))*H24*1000),""))</f>
        <v/>
      </c>
      <c r="S24" s="176" t="str">
        <f>IF(M24="No",0,IF(M24="Sí",((INDEX(Dades_PA!$B$101:$Y$127,(MATCH(F24,Dades_PA!$A$101:$A$127,0)),(MATCH(N24,Dades_PA!$B$100:$Y$100,0))))*((Dades_PA!$B$131))*H24*1000),""))</f>
        <v/>
      </c>
      <c r="T24" s="176" t="str">
        <f>IF(M24="No",0,IF(M24="Sí",((INDEX(Dades_PA!$B$101:$Y$127,(MATCH(F24,Dades_PA!$A$101:$A$127,0)),(MATCH(N24,Dades_PA!$B$100:$Y$100,0))))*((Dades_PA!$C$131))*H24*1000),""))</f>
        <v/>
      </c>
      <c r="U24" s="179" t="str">
        <f>IFERROR(((((O24+Q24+S24)*Dades_PA!$B$135)+((P24+R24+T24)*Dades_PA!$B$136))/1000),"")</f>
        <v/>
      </c>
    </row>
    <row r="25" spans="2:24" ht="15.75" customHeight="1" x14ac:dyDescent="0.25">
      <c r="E25" s="316"/>
      <c r="F25" s="171" t="str">
        <f>IF('2.1 Absorciones árboles'!E25=0,"",'2.1 Absorciones árboles'!E25)</f>
        <v/>
      </c>
      <c r="G25" s="178" t="str">
        <f t="shared" si="4"/>
        <v/>
      </c>
      <c r="H25" s="177" t="str">
        <f>IF('2.2 Emisiones restos corta'!I34="","",'2.2 Emisiones restos corta'!I34)</f>
        <v/>
      </c>
      <c r="I25" s="88" t="str">
        <f>IF('2.2 Emisiones restos corta'!L34="Quema","Sí",(IF('2.2 Emisiones restos corta'!L34="Descomposición","No",(IF('2.2 Emisiones restos corta'!L34="Producto","No"," ")))))</f>
        <v xml:space="preserve"> </v>
      </c>
      <c r="J25" s="88" t="str">
        <f t="shared" si="0"/>
        <v>Bb&lt;2iBf-</v>
      </c>
      <c r="K25" s="88" t="str">
        <f>IF('2.2 Emisiones restos corta'!N34="Quema","Sí",(IF('2.2 Emisiones restos corta'!N34="Descomposición","No",(IF('2.2 Emisiones restos corta'!N34="Producto","No"," ")))))</f>
        <v xml:space="preserve"> </v>
      </c>
      <c r="L25" s="88" t="str">
        <f t="shared" si="1"/>
        <v>Bb&gt;2-</v>
      </c>
      <c r="M25" s="88" t="str">
        <f>IF('2.2 Emisiones restos corta'!P34="Quema","Sí",(IF('2.2 Emisiones restos corta'!P34="Descomposición","No",(IF('2.2 Emisiones restos corta'!P34="Producto","No"," ")))))</f>
        <v xml:space="preserve"> </v>
      </c>
      <c r="N25" s="88" t="str">
        <f t="shared" si="2"/>
        <v>Bt-</v>
      </c>
      <c r="O25" s="176" t="str">
        <f>IF(I25="No",0,IF(I25="Sí",((INDEX(Dades_PA!$B$101:$Y$127,(MATCH(F25,Dades_PA!$A$101:$A$127,0)),(MATCH(J25,Dades_PA!$B$100:$Y$100,0))))*((Dades_PA!$B$131))*H25*1000),""))</f>
        <v/>
      </c>
      <c r="P25" s="176" t="str">
        <f>IF(I25="No",0,IF(I25="Sí",((INDEX(Dades_PA!$B$101:$Y$127,(MATCH(F25,Dades_PA!$A$101:$A$127,0)),(MATCH(J25,Dades_PA!$B$100:$Y$100,0))))*((Dades_PA!$C$131))*H25*1000),""))</f>
        <v/>
      </c>
      <c r="Q25" s="176" t="str">
        <f>IF(K25="No",0,IF(K25="Sí",((INDEX(Dades_PA!$B$101:$Y$127,(MATCH(F25,Dades_PA!$A$101:$A$127,0)),(MATCH(L25,Dades_PA!$B$100:$Y$100,0))))*((Dades_PA!$B$131))*H25*1000),""))</f>
        <v/>
      </c>
      <c r="R25" s="176" t="str">
        <f>IF(K25="No",0,IF(K25="Sí",((INDEX(Dades_PA!$B$101:$Y$127,(MATCH(F25,Dades_PA!$A$101:$A$127,0)),(MATCH(L25,Dades_PA!$B$100:$Y$100,0))))*((Dades_PA!$C$131))*H25*1000),""))</f>
        <v/>
      </c>
      <c r="S25" s="176" t="str">
        <f>IF(M25="No",0,IF(M25="Sí",((INDEX(Dades_PA!$B$101:$Y$127,(MATCH(F25,Dades_PA!$A$101:$A$127,0)),(MATCH(N25,Dades_PA!$B$100:$Y$100,0))))*((Dades_PA!$B$131))*H25*1000),""))</f>
        <v/>
      </c>
      <c r="T25" s="176" t="str">
        <f>IF(M25="No",0,IF(M25="Sí",((INDEX(Dades_PA!$B$101:$Y$127,(MATCH(F25,Dades_PA!$A$101:$A$127,0)),(MATCH(N25,Dades_PA!$B$100:$Y$100,0))))*((Dades_PA!$C$131))*H25*1000),""))</f>
        <v/>
      </c>
      <c r="U25" s="179" t="str">
        <f>IFERROR(((((O25+Q25+S25)*Dades_PA!$B$135)+((P25+R25+T25)*Dades_PA!$B$136))/1000),"")</f>
        <v/>
      </c>
    </row>
    <row r="26" spans="2:24" ht="15.75" customHeight="1" thickBot="1" x14ac:dyDescent="0.3">
      <c r="E26" s="317"/>
      <c r="F26" s="172" t="str">
        <f>IF('2.1 Absorciones árboles'!E26=0,"",'2.1 Absorciones árboles'!E26)</f>
        <v/>
      </c>
      <c r="G26" s="188" t="str">
        <f t="shared" si="4"/>
        <v/>
      </c>
      <c r="H26" s="189" t="str">
        <f>IF('2.2 Emisiones restos corta'!I35="","",'2.2 Emisiones restos corta'!I35)</f>
        <v/>
      </c>
      <c r="I26" s="92" t="str">
        <f>IF('2.2 Emisiones restos corta'!L35="Quema","Sí",(IF('2.2 Emisiones restos corta'!L35="Descomposición","No",(IF('2.2 Emisiones restos corta'!L35="Producto","No"," ")))))</f>
        <v xml:space="preserve"> </v>
      </c>
      <c r="J26" s="92" t="str">
        <f t="shared" si="0"/>
        <v>Bb&lt;2iBf-</v>
      </c>
      <c r="K26" s="92" t="str">
        <f>IF('2.2 Emisiones restos corta'!N35="Quema","Sí",(IF('2.2 Emisiones restos corta'!N35="Descomposición","No",(IF('2.2 Emisiones restos corta'!N35="Producto","No"," ")))))</f>
        <v xml:space="preserve"> </v>
      </c>
      <c r="L26" s="92" t="str">
        <f t="shared" si="1"/>
        <v>Bb&gt;2-</v>
      </c>
      <c r="M26" s="92" t="str">
        <f>IF('2.2 Emisiones restos corta'!P35="Quema","Sí",(IF('2.2 Emisiones restos corta'!P35="Descomposición","No",(IF('2.2 Emisiones restos corta'!P35="Producto","No"," ")))))</f>
        <v xml:space="preserve"> </v>
      </c>
      <c r="N26" s="92" t="str">
        <f t="shared" si="2"/>
        <v>Bt-</v>
      </c>
      <c r="O26" s="190" t="str">
        <f>IF(I26="No",0,IF(I26="Sí",((INDEX(Dades_PA!$B$101:$Y$127,(MATCH(F26,Dades_PA!$A$101:$A$127,0)),(MATCH(J26,Dades_PA!$B$100:$Y$100,0))))*((Dades_PA!$B$131))*H26*1000),""))</f>
        <v/>
      </c>
      <c r="P26" s="190" t="str">
        <f>IF(I26="No",0,IF(I26="Sí",((INDEX(Dades_PA!$B$101:$Y$127,(MATCH(F26,Dades_PA!$A$101:$A$127,0)),(MATCH(J26,Dades_PA!$B$100:$Y$100,0))))*((Dades_PA!$C$131))*H26*1000),""))</f>
        <v/>
      </c>
      <c r="Q26" s="190" t="str">
        <f>IF(K26="No",0,IF(K26="Sí",((INDEX(Dades_PA!$B$101:$Y$127,(MATCH(F26,Dades_PA!$A$101:$A$127,0)),(MATCH(L26,Dades_PA!$B$100:$Y$100,0))))*((Dades_PA!$B$131))*H26*1000),""))</f>
        <v/>
      </c>
      <c r="R26" s="190" t="str">
        <f>IF(K26="No",0,IF(K26="Sí",((INDEX(Dades_PA!$B$101:$Y$127,(MATCH(F26,Dades_PA!$A$101:$A$127,0)),(MATCH(L26,Dades_PA!$B$100:$Y$100,0))))*((Dades_PA!$C$131))*H26*1000),""))</f>
        <v/>
      </c>
      <c r="S26" s="190" t="str">
        <f>IF(M26="No",0,IF(M26="Sí",((INDEX(Dades_PA!$B$101:$Y$127,(MATCH(F26,Dades_PA!$A$101:$A$127,0)),(MATCH(N26,Dades_PA!$B$100:$Y$100,0))))*((Dades_PA!$B$131))*H26*1000),""))</f>
        <v/>
      </c>
      <c r="T26" s="190" t="str">
        <f>IF(M26="No",0,IF(M26="Sí",((INDEX(Dades_PA!$B$101:$Y$127,(MATCH(F26,Dades_PA!$A$101:$A$127,0)),(MATCH(N26,Dades_PA!$B$100:$Y$100,0))))*((Dades_PA!$C$131))*H26*1000),""))</f>
        <v/>
      </c>
      <c r="U26" s="191" t="str">
        <f>IFERROR(((((O26+Q26+S26)*Dades_PA!$B$135)+((P26+R26+T26)*Dades_PA!$B$136))/1000),"")</f>
        <v/>
      </c>
    </row>
    <row r="27" spans="2:24" ht="15.75" customHeight="1" x14ac:dyDescent="0.25">
      <c r="E27" s="315" t="str">
        <f>IF(('1. Datos generales del proyecto'!D33)="","",('1. Datos generales del proyecto'!D33))</f>
        <v/>
      </c>
      <c r="F27" s="170" t="str">
        <f>IF('2.1 Absorciones árboles'!E27=0,"",'2.1 Absorciones árboles'!E27)</f>
        <v/>
      </c>
      <c r="G27" s="185" t="str">
        <f>IF(('2.1 Absorciones árboles'!H27&gt;0),('2.1 Absorciones árboles'!H27),"")</f>
        <v/>
      </c>
      <c r="H27" s="186" t="str">
        <f>IF('2.2 Emisiones restos corta'!I36="","",'2.2 Emisiones restos corta'!I36)</f>
        <v/>
      </c>
      <c r="I27" s="84" t="str">
        <f>IF('2.2 Emisiones restos corta'!L36="Quema","Sí",(IF('2.2 Emisiones restos corta'!L36="Descomposición","No",(IF('2.2 Emisiones restos corta'!L36="Producto","No"," ")))))</f>
        <v xml:space="preserve"> </v>
      </c>
      <c r="J27" s="84" t="str">
        <f t="shared" si="0"/>
        <v>Bb&lt;2iBf-</v>
      </c>
      <c r="K27" s="84" t="str">
        <f>IF('2.2 Emisiones restos corta'!N36="Quema","Sí",(IF('2.2 Emisiones restos corta'!N36="Descomposición","No",(IF('2.2 Emisiones restos corta'!N36="Producto","No"," ")))))</f>
        <v xml:space="preserve"> </v>
      </c>
      <c r="L27" s="84" t="str">
        <f t="shared" si="1"/>
        <v>Bb&gt;2-</v>
      </c>
      <c r="M27" s="84" t="str">
        <f>IF('2.2 Emisiones restos corta'!P36="Quema","Sí",(IF('2.2 Emisiones restos corta'!P36="Descomposición","No",(IF('2.2 Emisiones restos corta'!P36="Producto","No"," ")))))</f>
        <v xml:space="preserve"> </v>
      </c>
      <c r="N27" s="84" t="str">
        <f t="shared" si="2"/>
        <v>Bt-</v>
      </c>
      <c r="O27" s="170" t="str">
        <f>IF(I27="No",0,IF(I27="Sí",((INDEX(Dades_PA!$B$101:$Y$127,(MATCH(F27,Dades_PA!$A$101:$A$127,0)),(MATCH(J27,Dades_PA!$B$100:$Y$100,0))))*((Dades_PA!$B$131))*H27*1000),""))</f>
        <v/>
      </c>
      <c r="P27" s="170" t="str">
        <f>IF(I27="No",0,IF(I27="Sí",((INDEX(Dades_PA!$B$101:$Y$127,(MATCH(F27,Dades_PA!$A$101:$A$127,0)),(MATCH(J27,Dades_PA!$B$100:$Y$100,0))))*((Dades_PA!$C$131))*H27*1000),""))</f>
        <v/>
      </c>
      <c r="Q27" s="170" t="str">
        <f>IF(K27="No",0,IF(K27="Sí",((INDEX(Dades_PA!$B$101:$Y$127,(MATCH(F27,Dades_PA!$A$101:$A$127,0)),(MATCH(L27,Dades_PA!$B$100:$Y$100,0))))*((Dades_PA!$B$131))*H27*1000),""))</f>
        <v/>
      </c>
      <c r="R27" s="170" t="str">
        <f>IF(K27="No",0,IF(K27="Sí",((INDEX(Dades_PA!$B$101:$Y$127,(MATCH(F27,Dades_PA!$A$101:$A$127,0)),(MATCH(L27,Dades_PA!$B$100:$Y$100,0))))*((Dades_PA!$C$131))*H27*1000),""))</f>
        <v/>
      </c>
      <c r="S27" s="170" t="str">
        <f>IF(M27="No",0,IF(M27="Sí",((INDEX(Dades_PA!$B$101:$Y$127,(MATCH(F27,Dades_PA!$A$101:$A$127,0)),(MATCH(N27,Dades_PA!$B$100:$Y$100,0))))*((Dades_PA!$B$131))*H27*1000),""))</f>
        <v/>
      </c>
      <c r="T27" s="170" t="str">
        <f>IF(M27="No",0,IF(M27="Sí",((INDEX(Dades_PA!$B$101:$Y$127,(MATCH(F27,Dades_PA!$A$101:$A$127,0)),(MATCH(N27,Dades_PA!$B$100:$Y$100,0))))*((Dades_PA!$C$131))*H27*1000),""))</f>
        <v/>
      </c>
      <c r="U27" s="187" t="str">
        <f>IFERROR(((((O27+Q27+S27)*Dades_PA!$B$135)+((P27+R27+T27)*Dades_PA!$B$136))/1000),"")</f>
        <v/>
      </c>
    </row>
    <row r="28" spans="2:24" ht="15.75" customHeight="1" x14ac:dyDescent="0.25">
      <c r="E28" s="316"/>
      <c r="F28" s="171" t="str">
        <f>IF('2.1 Absorciones árboles'!E28=0,"",'2.1 Absorciones árboles'!E28)</f>
        <v/>
      </c>
      <c r="G28" s="178" t="str">
        <f>$G$27</f>
        <v/>
      </c>
      <c r="H28" s="177" t="str">
        <f>IF('2.2 Emisiones restos corta'!I37="","",'2.2 Emisiones restos corta'!I37)</f>
        <v/>
      </c>
      <c r="I28" s="88" t="str">
        <f>IF('2.2 Emisiones restos corta'!L37="Quema","Sí",(IF('2.2 Emisiones restos corta'!L37="Descomposición","No",(IF('2.2 Emisiones restos corta'!L37="Producto","No"," ")))))</f>
        <v xml:space="preserve"> </v>
      </c>
      <c r="J28" s="88" t="str">
        <f t="shared" si="0"/>
        <v>Bb&lt;2iBf-</v>
      </c>
      <c r="K28" s="88" t="str">
        <f>IF('2.2 Emisiones restos corta'!N37="Quema","Sí",(IF('2.2 Emisiones restos corta'!N37="Descomposición","No",(IF('2.2 Emisiones restos corta'!N37="Producto","No"," ")))))</f>
        <v xml:space="preserve"> </v>
      </c>
      <c r="L28" s="88" t="str">
        <f t="shared" si="1"/>
        <v>Bb&gt;2-</v>
      </c>
      <c r="M28" s="88" t="str">
        <f>IF('2.2 Emisiones restos corta'!P37="Quema","Sí",(IF('2.2 Emisiones restos corta'!P37="Descomposición","No",(IF('2.2 Emisiones restos corta'!P37="Producto","No"," ")))))</f>
        <v xml:space="preserve"> </v>
      </c>
      <c r="N28" s="88" t="str">
        <f t="shared" si="2"/>
        <v>Bt-</v>
      </c>
      <c r="O28" s="176" t="str">
        <f>IF(I28="No",0,IF(I28="Sí",((INDEX(Dades_PA!$B$101:$Y$127,(MATCH(F28,Dades_PA!$A$101:$A$127,0)),(MATCH(J28,Dades_PA!$B$100:$Y$100,0))))*((Dades_PA!$B$131))*H28*1000),""))</f>
        <v/>
      </c>
      <c r="P28" s="176" t="str">
        <f>IF(I28="No",0,IF(I28="Sí",((INDEX(Dades_PA!$B$101:$Y$127,(MATCH(F28,Dades_PA!$A$101:$A$127,0)),(MATCH(J28,Dades_PA!$B$100:$Y$100,0))))*((Dades_PA!$C$131))*H28*1000),""))</f>
        <v/>
      </c>
      <c r="Q28" s="176" t="str">
        <f>IF(K28="No",0,IF(K28="Sí",((INDEX(Dades_PA!$B$101:$Y$127,(MATCH(F28,Dades_PA!$A$101:$A$127,0)),(MATCH(L28,Dades_PA!$B$100:$Y$100,0))))*((Dades_PA!$B$131))*H28*1000),""))</f>
        <v/>
      </c>
      <c r="R28" s="176" t="str">
        <f>IF(K28="No",0,IF(K28="Sí",((INDEX(Dades_PA!$B$101:$Y$127,(MATCH(F28,Dades_PA!$A$101:$A$127,0)),(MATCH(L28,Dades_PA!$B$100:$Y$100,0))))*((Dades_PA!$C$131))*H28*1000),""))</f>
        <v/>
      </c>
      <c r="S28" s="176" t="str">
        <f>IF(M28="No",0,IF(M28="Sí",((INDEX(Dades_PA!$B$101:$Y$127,(MATCH(F28,Dades_PA!$A$101:$A$127,0)),(MATCH(N28,Dades_PA!$B$100:$Y$100,0))))*((Dades_PA!$B$131))*H28*1000),""))</f>
        <v/>
      </c>
      <c r="T28" s="176" t="str">
        <f>IF(M28="No",0,IF(M28="Sí",((INDEX(Dades_PA!$B$101:$Y$127,(MATCH(F28,Dades_PA!$A$101:$A$127,0)),(MATCH(N28,Dades_PA!$B$100:$Y$100,0))))*((Dades_PA!$C$131))*H28*1000),""))</f>
        <v/>
      </c>
      <c r="U28" s="179" t="str">
        <f>IFERROR(((((O28+Q28+S28)*Dades_PA!$B$135)+((P28+R28+T28)*Dades_PA!$B$136))/1000),"")</f>
        <v/>
      </c>
    </row>
    <row r="29" spans="2:24" ht="18" customHeight="1" x14ac:dyDescent="0.25">
      <c r="E29" s="316"/>
      <c r="F29" s="171" t="str">
        <f>IF('2.1 Absorciones árboles'!E29=0,"",'2.1 Absorciones árboles'!E29)</f>
        <v/>
      </c>
      <c r="G29" s="178" t="str">
        <f t="shared" ref="G29:G36" si="5">$G$27</f>
        <v/>
      </c>
      <c r="H29" s="177" t="str">
        <f>IF('2.2 Emisiones restos corta'!I38="","",'2.2 Emisiones restos corta'!I38)</f>
        <v/>
      </c>
      <c r="I29" s="88" t="str">
        <f>IF('2.2 Emisiones restos corta'!L38="Quema","Sí",(IF('2.2 Emisiones restos corta'!L38="Descomposición","No",(IF('2.2 Emisiones restos corta'!L38="Producto","No"," ")))))</f>
        <v xml:space="preserve"> </v>
      </c>
      <c r="J29" s="88" t="str">
        <f t="shared" si="0"/>
        <v>Bb&lt;2iBf-</v>
      </c>
      <c r="K29" s="88" t="str">
        <f>IF('2.2 Emisiones restos corta'!N38="Quema","Sí",(IF('2.2 Emisiones restos corta'!N38="Descomposición","No",(IF('2.2 Emisiones restos corta'!N38="Producto","No"," ")))))</f>
        <v xml:space="preserve"> </v>
      </c>
      <c r="L29" s="88" t="str">
        <f t="shared" si="1"/>
        <v>Bb&gt;2-</v>
      </c>
      <c r="M29" s="88" t="str">
        <f>IF('2.2 Emisiones restos corta'!P38="Quema","Sí",(IF('2.2 Emisiones restos corta'!P38="Descomposición","No",(IF('2.2 Emisiones restos corta'!P38="Producto","No"," ")))))</f>
        <v xml:space="preserve"> </v>
      </c>
      <c r="N29" s="88" t="str">
        <f t="shared" si="2"/>
        <v>Bt-</v>
      </c>
      <c r="O29" s="176" t="str">
        <f>IF(I29="No",0,IF(I29="Sí",((INDEX(Dades_PA!$B$101:$Y$127,(MATCH(F29,Dades_PA!$A$101:$A$127,0)),(MATCH(J29,Dades_PA!$B$100:$Y$100,0))))*((Dades_PA!$B$131))*H29*1000),""))</f>
        <v/>
      </c>
      <c r="P29" s="176" t="str">
        <f>IF(I29="No",0,IF(I29="Sí",((INDEX(Dades_PA!$B$101:$Y$127,(MATCH(F29,Dades_PA!$A$101:$A$127,0)),(MATCH(J29,Dades_PA!$B$100:$Y$100,0))))*((Dades_PA!$C$131))*H29*1000),""))</f>
        <v/>
      </c>
      <c r="Q29" s="176" t="str">
        <f>IF(K29="No",0,IF(K29="Sí",((INDEX(Dades_PA!$B$101:$Y$127,(MATCH(F29,Dades_PA!$A$101:$A$127,0)),(MATCH(L29,Dades_PA!$B$100:$Y$100,0))))*((Dades_PA!$B$131))*H29*1000),""))</f>
        <v/>
      </c>
      <c r="R29" s="176" t="str">
        <f>IF(K29="No",0,IF(K29="Sí",((INDEX(Dades_PA!$B$101:$Y$127,(MATCH(F29,Dades_PA!$A$101:$A$127,0)),(MATCH(L29,Dades_PA!$B$100:$Y$100,0))))*((Dades_PA!$C$131))*H29*1000),""))</f>
        <v/>
      </c>
      <c r="S29" s="176" t="str">
        <f>IF(M29="No",0,IF(M29="Sí",((INDEX(Dades_PA!$B$101:$Y$127,(MATCH(F29,Dades_PA!$A$101:$A$127,0)),(MATCH(N29,Dades_PA!$B$100:$Y$100,0))))*((Dades_PA!$B$131))*H29*1000),""))</f>
        <v/>
      </c>
      <c r="T29" s="176" t="str">
        <f>IF(M29="No",0,IF(M29="Sí",((INDEX(Dades_PA!$B$101:$Y$127,(MATCH(F29,Dades_PA!$A$101:$A$127,0)),(MATCH(N29,Dades_PA!$B$100:$Y$100,0))))*((Dades_PA!$C$131))*H29*1000),""))</f>
        <v/>
      </c>
      <c r="U29" s="179" t="str">
        <f>IFERROR(((((O29+Q29+S29)*Dades_PA!$B$135)+((P29+R29+T29)*Dades_PA!$B$136))/1000),"")</f>
        <v/>
      </c>
    </row>
    <row r="30" spans="2:24" ht="15.75" customHeight="1" x14ac:dyDescent="0.25">
      <c r="E30" s="316"/>
      <c r="F30" s="171" t="str">
        <f>IF('2.1 Absorciones árboles'!E30=0,"",'2.1 Absorciones árboles'!E30)</f>
        <v/>
      </c>
      <c r="G30" s="178" t="str">
        <f t="shared" si="5"/>
        <v/>
      </c>
      <c r="H30" s="177" t="str">
        <f>IF('2.2 Emisiones restos corta'!I39="","",'2.2 Emisiones restos corta'!I39)</f>
        <v/>
      </c>
      <c r="I30" s="88" t="str">
        <f>IF('2.2 Emisiones restos corta'!L39="Quema","Sí",(IF('2.2 Emisiones restos corta'!L39="Descomposición","No",(IF('2.2 Emisiones restos corta'!L39="Producto","No"," ")))))</f>
        <v xml:space="preserve"> </v>
      </c>
      <c r="J30" s="88" t="str">
        <f t="shared" si="0"/>
        <v>Bb&lt;2iBf-</v>
      </c>
      <c r="K30" s="88" t="str">
        <f>IF('2.2 Emisiones restos corta'!N39="Quema","Sí",(IF('2.2 Emisiones restos corta'!N39="Descomposición","No",(IF('2.2 Emisiones restos corta'!N39="Producto","No"," ")))))</f>
        <v xml:space="preserve"> </v>
      </c>
      <c r="L30" s="88" t="str">
        <f t="shared" si="1"/>
        <v>Bb&gt;2-</v>
      </c>
      <c r="M30" s="88" t="str">
        <f>IF('2.2 Emisiones restos corta'!P39="Quema","Sí",(IF('2.2 Emisiones restos corta'!P39="Descomposición","No",(IF('2.2 Emisiones restos corta'!P39="Producto","No"," ")))))</f>
        <v xml:space="preserve"> </v>
      </c>
      <c r="N30" s="88" t="str">
        <f t="shared" si="2"/>
        <v>Bt-</v>
      </c>
      <c r="O30" s="176" t="str">
        <f>IF(I30="No",0,IF(I30="Sí",((INDEX(Dades_PA!$B$101:$Y$127,(MATCH(F30,Dades_PA!$A$101:$A$127,0)),(MATCH(J30,Dades_PA!$B$100:$Y$100,0))))*((Dades_PA!$B$131))*H30*1000),""))</f>
        <v/>
      </c>
      <c r="P30" s="176" t="str">
        <f>IF(I30="No",0,IF(I30="Sí",((INDEX(Dades_PA!$B$101:$Y$127,(MATCH(F30,Dades_PA!$A$101:$A$127,0)),(MATCH(J30,Dades_PA!$B$100:$Y$100,0))))*((Dades_PA!$C$131))*H30*1000),""))</f>
        <v/>
      </c>
      <c r="Q30" s="176" t="str">
        <f>IF(K30="No",0,IF(K30="Sí",((INDEX(Dades_PA!$B$101:$Y$127,(MATCH(F30,Dades_PA!$A$101:$A$127,0)),(MATCH(L30,Dades_PA!$B$100:$Y$100,0))))*((Dades_PA!$B$131))*H30*1000),""))</f>
        <v/>
      </c>
      <c r="R30" s="176" t="str">
        <f>IF(K30="No",0,IF(K30="Sí",((INDEX(Dades_PA!$B$101:$Y$127,(MATCH(F30,Dades_PA!$A$101:$A$127,0)),(MATCH(L30,Dades_PA!$B$100:$Y$100,0))))*((Dades_PA!$C$131))*H30*1000),""))</f>
        <v/>
      </c>
      <c r="S30" s="176" t="str">
        <f>IF(M30="No",0,IF(M30="Sí",((INDEX(Dades_PA!$B$101:$Y$127,(MATCH(F30,Dades_PA!$A$101:$A$127,0)),(MATCH(N30,Dades_PA!$B$100:$Y$100,0))))*((Dades_PA!$B$131))*H30*1000),""))</f>
        <v/>
      </c>
      <c r="T30" s="176" t="str">
        <f>IF(M30="No",0,IF(M30="Sí",((INDEX(Dades_PA!$B$101:$Y$127,(MATCH(F30,Dades_PA!$A$101:$A$127,0)),(MATCH(N30,Dades_PA!$B$100:$Y$100,0))))*((Dades_PA!$C$131))*H30*1000),""))</f>
        <v/>
      </c>
      <c r="U30" s="179" t="str">
        <f>IFERROR(((((O30+Q30+S30)*Dades_PA!$B$135)+((P30+R30+T30)*Dades_PA!$B$136))/1000),"")</f>
        <v/>
      </c>
    </row>
    <row r="31" spans="2:24" s="8" customFormat="1" ht="15.75" customHeight="1" x14ac:dyDescent="0.25">
      <c r="B31" s="2"/>
      <c r="C31" s="2"/>
      <c r="D31" s="6"/>
      <c r="E31" s="316"/>
      <c r="F31" s="171" t="str">
        <f>IF('2.1 Absorciones árboles'!E31=0,"",'2.1 Absorciones árboles'!E31)</f>
        <v/>
      </c>
      <c r="G31" s="178" t="str">
        <f t="shared" si="5"/>
        <v/>
      </c>
      <c r="H31" s="177" t="str">
        <f>IF('2.2 Emisiones restos corta'!I40="","",'2.2 Emisiones restos corta'!I40)</f>
        <v/>
      </c>
      <c r="I31" s="88" t="str">
        <f>IF('2.2 Emisiones restos corta'!L40="Quema","Sí",(IF('2.2 Emisiones restos corta'!L40="Descomposición","No",(IF('2.2 Emisiones restos corta'!L40="Producto","No"," ")))))</f>
        <v xml:space="preserve"> </v>
      </c>
      <c r="J31" s="88" t="str">
        <f t="shared" si="0"/>
        <v>Bb&lt;2iBf-</v>
      </c>
      <c r="K31" s="88" t="str">
        <f>IF('2.2 Emisiones restos corta'!N40="Quema","Sí",(IF('2.2 Emisiones restos corta'!N40="Descomposición","No",(IF('2.2 Emisiones restos corta'!N40="Producto","No"," ")))))</f>
        <v xml:space="preserve"> </v>
      </c>
      <c r="L31" s="88" t="str">
        <f t="shared" si="1"/>
        <v>Bb&gt;2-</v>
      </c>
      <c r="M31" s="88" t="str">
        <f>IF('2.2 Emisiones restos corta'!P40="Quema","Sí",(IF('2.2 Emisiones restos corta'!P40="Descomposición","No",(IF('2.2 Emisiones restos corta'!P40="Producto","No"," ")))))</f>
        <v xml:space="preserve"> </v>
      </c>
      <c r="N31" s="88" t="str">
        <f t="shared" si="2"/>
        <v>Bt-</v>
      </c>
      <c r="O31" s="176" t="str">
        <f>IF(I31="No",0,IF(I31="Sí",((INDEX(Dades_PA!$B$101:$Y$127,(MATCH(F31,Dades_PA!$A$101:$A$127,0)),(MATCH(J31,Dades_PA!$B$100:$Y$100,0))))*((Dades_PA!$B$131))*H31*1000),""))</f>
        <v/>
      </c>
      <c r="P31" s="176" t="str">
        <f>IF(I31="No",0,IF(I31="Sí",((INDEX(Dades_PA!$B$101:$Y$127,(MATCH(F31,Dades_PA!$A$101:$A$127,0)),(MATCH(J31,Dades_PA!$B$100:$Y$100,0))))*((Dades_PA!$C$131))*H31*1000),""))</f>
        <v/>
      </c>
      <c r="Q31" s="176" t="str">
        <f>IF(K31="No",0,IF(K31="Sí",((INDEX(Dades_PA!$B$101:$Y$127,(MATCH(F31,Dades_PA!$A$101:$A$127,0)),(MATCH(L31,Dades_PA!$B$100:$Y$100,0))))*((Dades_PA!$B$131))*H31*1000),""))</f>
        <v/>
      </c>
      <c r="R31" s="176" t="str">
        <f>IF(K31="No",0,IF(K31="Sí",((INDEX(Dades_PA!$B$101:$Y$127,(MATCH(F31,Dades_PA!$A$101:$A$127,0)),(MATCH(L31,Dades_PA!$B$100:$Y$100,0))))*((Dades_PA!$C$131))*H31*1000),""))</f>
        <v/>
      </c>
      <c r="S31" s="176" t="str">
        <f>IF(M31="No",0,IF(M31="Sí",((INDEX(Dades_PA!$B$101:$Y$127,(MATCH(F31,Dades_PA!$A$101:$A$127,0)),(MATCH(N31,Dades_PA!$B$100:$Y$100,0))))*((Dades_PA!$B$131))*H31*1000),""))</f>
        <v/>
      </c>
      <c r="T31" s="176" t="str">
        <f>IF(M31="No",0,IF(M31="Sí",((INDEX(Dades_PA!$B$101:$Y$127,(MATCH(F31,Dades_PA!$A$101:$A$127,0)),(MATCH(N31,Dades_PA!$B$100:$Y$100,0))))*((Dades_PA!$C$131))*H31*1000),""))</f>
        <v/>
      </c>
      <c r="U31" s="179" t="str">
        <f>IFERROR(((((O31+Q31+S31)*Dades_PA!$B$135)+((P31+R31+T31)*Dades_PA!$B$136))/1000),"")</f>
        <v/>
      </c>
      <c r="V31" s="6"/>
      <c r="W31" s="6"/>
      <c r="X31" s="6"/>
    </row>
    <row r="32" spans="2:24" ht="15" customHeight="1" x14ac:dyDescent="0.25">
      <c r="E32" s="316"/>
      <c r="F32" s="171" t="str">
        <f>IF('2.1 Absorciones árboles'!E32=0,"",'2.1 Absorciones árboles'!E32)</f>
        <v/>
      </c>
      <c r="G32" s="178" t="str">
        <f t="shared" si="5"/>
        <v/>
      </c>
      <c r="H32" s="177" t="str">
        <f>IF('2.2 Emisiones restos corta'!I41="","",'2.2 Emisiones restos corta'!I41)</f>
        <v/>
      </c>
      <c r="I32" s="88" t="str">
        <f>IF('2.2 Emisiones restos corta'!L41="Quema","Sí",(IF('2.2 Emisiones restos corta'!L41="Descomposición","No",(IF('2.2 Emisiones restos corta'!L41="Producto","No"," ")))))</f>
        <v xml:space="preserve"> </v>
      </c>
      <c r="J32" s="88" t="str">
        <f t="shared" si="0"/>
        <v>Bb&lt;2iBf-</v>
      </c>
      <c r="K32" s="88" t="str">
        <f>IF('2.2 Emisiones restos corta'!N41="Quema","Sí",(IF('2.2 Emisiones restos corta'!N41="Descomposición","No",(IF('2.2 Emisiones restos corta'!N41="Producto","No"," ")))))</f>
        <v xml:space="preserve"> </v>
      </c>
      <c r="L32" s="88" t="str">
        <f t="shared" si="1"/>
        <v>Bb&gt;2-</v>
      </c>
      <c r="M32" s="88" t="str">
        <f>IF('2.2 Emisiones restos corta'!P41="Quema","Sí",(IF('2.2 Emisiones restos corta'!P41="Descomposición","No",(IF('2.2 Emisiones restos corta'!P41="Producto","No"," ")))))</f>
        <v xml:space="preserve"> </v>
      </c>
      <c r="N32" s="88" t="str">
        <f t="shared" si="2"/>
        <v>Bt-</v>
      </c>
      <c r="O32" s="176" t="str">
        <f>IF(I32="No",0,IF(I32="Sí",((INDEX(Dades_PA!$B$101:$Y$127,(MATCH(F32,Dades_PA!$A$101:$A$127,0)),(MATCH(J32,Dades_PA!$B$100:$Y$100,0))))*((Dades_PA!$B$131))*H32*1000),""))</f>
        <v/>
      </c>
      <c r="P32" s="176" t="str">
        <f>IF(I32="No",0,IF(I32="Sí",((INDEX(Dades_PA!$B$101:$Y$127,(MATCH(F32,Dades_PA!$A$101:$A$127,0)),(MATCH(J32,Dades_PA!$B$100:$Y$100,0))))*((Dades_PA!$C$131))*H32*1000),""))</f>
        <v/>
      </c>
      <c r="Q32" s="176" t="str">
        <f>IF(K32="No",0,IF(K32="Sí",((INDEX(Dades_PA!$B$101:$Y$127,(MATCH(F32,Dades_PA!$A$101:$A$127,0)),(MATCH(L32,Dades_PA!$B$100:$Y$100,0))))*((Dades_PA!$B$131))*H32*1000),""))</f>
        <v/>
      </c>
      <c r="R32" s="176" t="str">
        <f>IF(K32="No",0,IF(K32="Sí",((INDEX(Dades_PA!$B$101:$Y$127,(MATCH(F32,Dades_PA!$A$101:$A$127,0)),(MATCH(L32,Dades_PA!$B$100:$Y$100,0))))*((Dades_PA!$C$131))*H32*1000),""))</f>
        <v/>
      </c>
      <c r="S32" s="176" t="str">
        <f>IF(M32="No",0,IF(M32="Sí",((INDEX(Dades_PA!$B$101:$Y$127,(MATCH(F32,Dades_PA!$A$101:$A$127,0)),(MATCH(N32,Dades_PA!$B$100:$Y$100,0))))*((Dades_PA!$B$131))*H32*1000),""))</f>
        <v/>
      </c>
      <c r="T32" s="176" t="str">
        <f>IF(M32="No",0,IF(M32="Sí",((INDEX(Dades_PA!$B$101:$Y$127,(MATCH(F32,Dades_PA!$A$101:$A$127,0)),(MATCH(N32,Dades_PA!$B$100:$Y$100,0))))*((Dades_PA!$C$131))*H32*1000),""))</f>
        <v/>
      </c>
      <c r="U32" s="179" t="str">
        <f>IFERROR(((((O32+Q32+S32)*Dades_PA!$B$135)+((P32+R32+T32)*Dades_PA!$B$136))/1000),"")</f>
        <v/>
      </c>
    </row>
    <row r="33" spans="5:21" ht="15.75" customHeight="1" x14ac:dyDescent="0.25">
      <c r="E33" s="316"/>
      <c r="F33" s="171" t="str">
        <f>IF('2.1 Absorciones árboles'!E33=0,"",'2.1 Absorciones árboles'!E33)</f>
        <v/>
      </c>
      <c r="G33" s="178" t="str">
        <f t="shared" si="5"/>
        <v/>
      </c>
      <c r="H33" s="177" t="str">
        <f>IF('2.2 Emisiones restos corta'!I42="","",'2.2 Emisiones restos corta'!I42)</f>
        <v/>
      </c>
      <c r="I33" s="88" t="str">
        <f>IF('2.2 Emisiones restos corta'!L42="Quema","Sí",(IF('2.2 Emisiones restos corta'!L42="Descomposición","No",(IF('2.2 Emisiones restos corta'!L42="Producto","No"," ")))))</f>
        <v xml:space="preserve"> </v>
      </c>
      <c r="J33" s="88" t="str">
        <f t="shared" si="0"/>
        <v>Bb&lt;2iBf-</v>
      </c>
      <c r="K33" s="88" t="str">
        <f>IF('2.2 Emisiones restos corta'!N42="Quema","Sí",(IF('2.2 Emisiones restos corta'!N42="Descomposición","No",(IF('2.2 Emisiones restos corta'!N42="Producto","No"," ")))))</f>
        <v xml:space="preserve"> </v>
      </c>
      <c r="L33" s="88" t="str">
        <f t="shared" si="1"/>
        <v>Bb&gt;2-</v>
      </c>
      <c r="M33" s="88" t="str">
        <f>IF('2.2 Emisiones restos corta'!P42="Quema","Sí",(IF('2.2 Emisiones restos corta'!P42="Descomposición","No",(IF('2.2 Emisiones restos corta'!P42="Producto","No"," ")))))</f>
        <v xml:space="preserve"> </v>
      </c>
      <c r="N33" s="88" t="str">
        <f t="shared" si="2"/>
        <v>Bt-</v>
      </c>
      <c r="O33" s="176" t="str">
        <f>IF(I33="No",0,IF(I33="Sí",((INDEX(Dades_PA!$B$101:$Y$127,(MATCH(F33,Dades_PA!$A$101:$A$127,0)),(MATCH(J33,Dades_PA!$B$100:$Y$100,0))))*((Dades_PA!$B$131))*H33*1000),""))</f>
        <v/>
      </c>
      <c r="P33" s="176" t="str">
        <f>IF(I33="No",0,IF(I33="Sí",((INDEX(Dades_PA!$B$101:$Y$127,(MATCH(F33,Dades_PA!$A$101:$A$127,0)),(MATCH(J33,Dades_PA!$B$100:$Y$100,0))))*((Dades_PA!$C$131))*H33*1000),""))</f>
        <v/>
      </c>
      <c r="Q33" s="176" t="str">
        <f>IF(K33="No",0,IF(K33="Sí",((INDEX(Dades_PA!$B$101:$Y$127,(MATCH(F33,Dades_PA!$A$101:$A$127,0)),(MATCH(L33,Dades_PA!$B$100:$Y$100,0))))*((Dades_PA!$B$131))*H33*1000),""))</f>
        <v/>
      </c>
      <c r="R33" s="176" t="str">
        <f>IF(K33="No",0,IF(K33="Sí",((INDEX(Dades_PA!$B$101:$Y$127,(MATCH(F33,Dades_PA!$A$101:$A$127,0)),(MATCH(L33,Dades_PA!$B$100:$Y$100,0))))*((Dades_PA!$C$131))*H33*1000),""))</f>
        <v/>
      </c>
      <c r="S33" s="176" t="str">
        <f>IF(M33="No",0,IF(M33="Sí",((INDEX(Dades_PA!$B$101:$Y$127,(MATCH(F33,Dades_PA!$A$101:$A$127,0)),(MATCH(N33,Dades_PA!$B$100:$Y$100,0))))*((Dades_PA!$B$131))*H33*1000),""))</f>
        <v/>
      </c>
      <c r="T33" s="176" t="str">
        <f>IF(M33="No",0,IF(M33="Sí",((INDEX(Dades_PA!$B$101:$Y$127,(MATCH(F33,Dades_PA!$A$101:$A$127,0)),(MATCH(N33,Dades_PA!$B$100:$Y$100,0))))*((Dades_PA!$C$131))*H33*1000),""))</f>
        <v/>
      </c>
      <c r="U33" s="179" t="str">
        <f>IFERROR(((((O33+Q33+S33)*Dades_PA!$B$135)+((P33+R33+T33)*Dades_PA!$B$136))/1000),"")</f>
        <v/>
      </c>
    </row>
    <row r="34" spans="5:21" ht="15.75" customHeight="1" x14ac:dyDescent="0.25">
      <c r="E34" s="316"/>
      <c r="F34" s="171" t="str">
        <f>IF('2.1 Absorciones árboles'!E34=0,"",'2.1 Absorciones árboles'!E34)</f>
        <v/>
      </c>
      <c r="G34" s="178" t="str">
        <f t="shared" si="5"/>
        <v/>
      </c>
      <c r="H34" s="177" t="str">
        <f>IF('2.2 Emisiones restos corta'!I43="","",'2.2 Emisiones restos corta'!I43)</f>
        <v/>
      </c>
      <c r="I34" s="88" t="str">
        <f>IF('2.2 Emisiones restos corta'!L43="Quema","Sí",(IF('2.2 Emisiones restos corta'!L43="Descomposición","No",(IF('2.2 Emisiones restos corta'!L43="Producto","No"," ")))))</f>
        <v xml:space="preserve"> </v>
      </c>
      <c r="J34" s="88" t="str">
        <f t="shared" si="0"/>
        <v>Bb&lt;2iBf-</v>
      </c>
      <c r="K34" s="88" t="str">
        <f>IF('2.2 Emisiones restos corta'!N43="Quema","Sí",(IF('2.2 Emisiones restos corta'!N43="Descomposición","No",(IF('2.2 Emisiones restos corta'!N43="Producto","No"," ")))))</f>
        <v xml:space="preserve"> </v>
      </c>
      <c r="L34" s="88" t="str">
        <f t="shared" si="1"/>
        <v>Bb&gt;2-</v>
      </c>
      <c r="M34" s="88" t="str">
        <f>IF('2.2 Emisiones restos corta'!P43="Quema","Sí",(IF('2.2 Emisiones restos corta'!P43="Descomposición","No",(IF('2.2 Emisiones restos corta'!P43="Producto","No"," ")))))</f>
        <v xml:space="preserve"> </v>
      </c>
      <c r="N34" s="88" t="str">
        <f t="shared" si="2"/>
        <v>Bt-</v>
      </c>
      <c r="O34" s="176" t="str">
        <f>IF(I34="No",0,IF(I34="Sí",((INDEX(Dades_PA!$B$101:$Y$127,(MATCH(F34,Dades_PA!$A$101:$A$127,0)),(MATCH(J34,Dades_PA!$B$100:$Y$100,0))))*((Dades_PA!$B$131))*H34*1000),""))</f>
        <v/>
      </c>
      <c r="P34" s="176" t="str">
        <f>IF(I34="No",0,IF(I34="Sí",((INDEX(Dades_PA!$B$101:$Y$127,(MATCH(F34,Dades_PA!$A$101:$A$127,0)),(MATCH(J34,Dades_PA!$B$100:$Y$100,0))))*((Dades_PA!$C$131))*H34*1000),""))</f>
        <v/>
      </c>
      <c r="Q34" s="176" t="str">
        <f>IF(K34="No",0,IF(K34="Sí",((INDEX(Dades_PA!$B$101:$Y$127,(MATCH(F34,Dades_PA!$A$101:$A$127,0)),(MATCH(L34,Dades_PA!$B$100:$Y$100,0))))*((Dades_PA!$B$131))*H34*1000),""))</f>
        <v/>
      </c>
      <c r="R34" s="176" t="str">
        <f>IF(K34="No",0,IF(K34="Sí",((INDEX(Dades_PA!$B$101:$Y$127,(MATCH(F34,Dades_PA!$A$101:$A$127,0)),(MATCH(L34,Dades_PA!$B$100:$Y$100,0))))*((Dades_PA!$C$131))*H34*1000),""))</f>
        <v/>
      </c>
      <c r="S34" s="176" t="str">
        <f>IF(M34="No",0,IF(M34="Sí",((INDEX(Dades_PA!$B$101:$Y$127,(MATCH(F34,Dades_PA!$A$101:$A$127,0)),(MATCH(N34,Dades_PA!$B$100:$Y$100,0))))*((Dades_PA!$B$131))*H34*1000),""))</f>
        <v/>
      </c>
      <c r="T34" s="176" t="str">
        <f>IF(M34="No",0,IF(M34="Sí",((INDEX(Dades_PA!$B$101:$Y$127,(MATCH(F34,Dades_PA!$A$101:$A$127,0)),(MATCH(N34,Dades_PA!$B$100:$Y$100,0))))*((Dades_PA!$C$131))*H34*1000),""))</f>
        <v/>
      </c>
      <c r="U34" s="179" t="str">
        <f>IFERROR(((((O34+Q34+S34)*Dades_PA!$B$135)+((P34+R34+T34)*Dades_PA!$B$136))/1000),"")</f>
        <v/>
      </c>
    </row>
    <row r="35" spans="5:21" ht="15" customHeight="1" x14ac:dyDescent="0.25">
      <c r="E35" s="316"/>
      <c r="F35" s="171" t="str">
        <f>IF('2.1 Absorciones árboles'!E35=0,"",'2.1 Absorciones árboles'!E35)</f>
        <v/>
      </c>
      <c r="G35" s="178" t="str">
        <f t="shared" si="5"/>
        <v/>
      </c>
      <c r="H35" s="177" t="str">
        <f>IF('2.2 Emisiones restos corta'!I44="","",'2.2 Emisiones restos corta'!I44)</f>
        <v/>
      </c>
      <c r="I35" s="88" t="str">
        <f>IF('2.2 Emisiones restos corta'!L44="Quema","Sí",(IF('2.2 Emisiones restos corta'!L44="Descomposición","No",(IF('2.2 Emisiones restos corta'!L44="Producto","No"," ")))))</f>
        <v xml:space="preserve"> </v>
      </c>
      <c r="J35" s="88" t="str">
        <f t="shared" si="0"/>
        <v>Bb&lt;2iBf-</v>
      </c>
      <c r="K35" s="88" t="str">
        <f>IF('2.2 Emisiones restos corta'!N44="Quema","Sí",(IF('2.2 Emisiones restos corta'!N44="Descomposición","No",(IF('2.2 Emisiones restos corta'!N44="Producto","No"," ")))))</f>
        <v xml:space="preserve"> </v>
      </c>
      <c r="L35" s="88" t="str">
        <f t="shared" si="1"/>
        <v>Bb&gt;2-</v>
      </c>
      <c r="M35" s="88" t="str">
        <f>IF('2.2 Emisiones restos corta'!P44="Quema","Sí",(IF('2.2 Emisiones restos corta'!P44="Descomposición","No",(IF('2.2 Emisiones restos corta'!P44="Producto","No"," ")))))</f>
        <v xml:space="preserve"> </v>
      </c>
      <c r="N35" s="88" t="str">
        <f t="shared" si="2"/>
        <v>Bt-</v>
      </c>
      <c r="O35" s="176" t="str">
        <f>IF(I35="No",0,IF(I35="Sí",((INDEX(Dades_PA!$B$101:$Y$127,(MATCH(F35,Dades_PA!$A$101:$A$127,0)),(MATCH(J35,Dades_PA!$B$100:$Y$100,0))))*((Dades_PA!$B$131))*H35*1000),""))</f>
        <v/>
      </c>
      <c r="P35" s="176" t="str">
        <f>IF(I35="No",0,IF(I35="Sí",((INDEX(Dades_PA!$B$101:$Y$127,(MATCH(F35,Dades_PA!$A$101:$A$127,0)),(MATCH(J35,Dades_PA!$B$100:$Y$100,0))))*((Dades_PA!$C$131))*H35*1000),""))</f>
        <v/>
      </c>
      <c r="Q35" s="176" t="str">
        <f>IF(K35="No",0,IF(K35="Sí",((INDEX(Dades_PA!$B$101:$Y$127,(MATCH(F35,Dades_PA!$A$101:$A$127,0)),(MATCH(L35,Dades_PA!$B$100:$Y$100,0))))*((Dades_PA!$B$131))*H35*1000),""))</f>
        <v/>
      </c>
      <c r="R35" s="176" t="str">
        <f>IF(K35="No",0,IF(K35="Sí",((INDEX(Dades_PA!$B$101:$Y$127,(MATCH(F35,Dades_PA!$A$101:$A$127,0)),(MATCH(L35,Dades_PA!$B$100:$Y$100,0))))*((Dades_PA!$C$131))*H35*1000),""))</f>
        <v/>
      </c>
      <c r="S35" s="176" t="str">
        <f>IF(M35="No",0,IF(M35="Sí",((INDEX(Dades_PA!$B$101:$Y$127,(MATCH(F35,Dades_PA!$A$101:$A$127,0)),(MATCH(N35,Dades_PA!$B$100:$Y$100,0))))*((Dades_PA!$B$131))*H35*1000),""))</f>
        <v/>
      </c>
      <c r="T35" s="176" t="str">
        <f>IF(M35="No",0,IF(M35="Sí",((INDEX(Dades_PA!$B$101:$Y$127,(MATCH(F35,Dades_PA!$A$101:$A$127,0)),(MATCH(N35,Dades_PA!$B$100:$Y$100,0))))*((Dades_PA!$C$131))*H35*1000),""))</f>
        <v/>
      </c>
      <c r="U35" s="179" t="str">
        <f>IFERROR(((((O35+Q35+S35)*Dades_PA!$B$135)+((P35+R35+T35)*Dades_PA!$B$136))/1000),"")</f>
        <v/>
      </c>
    </row>
    <row r="36" spans="5:21" ht="16.5" customHeight="1" thickBot="1" x14ac:dyDescent="0.3">
      <c r="E36" s="317"/>
      <c r="F36" s="172" t="str">
        <f>IF('2.1 Absorciones árboles'!E36=0,"",'2.1 Absorciones árboles'!E36)</f>
        <v/>
      </c>
      <c r="G36" s="188" t="str">
        <f t="shared" si="5"/>
        <v/>
      </c>
      <c r="H36" s="189" t="str">
        <f>IF('2.2 Emisiones restos corta'!I45="","",'2.2 Emisiones restos corta'!I45)</f>
        <v/>
      </c>
      <c r="I36" s="92" t="str">
        <f>IF('2.2 Emisiones restos corta'!L45="Quema","Sí",(IF('2.2 Emisiones restos corta'!L45="Descomposición","No",(IF('2.2 Emisiones restos corta'!L45="Producto","No"," ")))))</f>
        <v xml:space="preserve"> </v>
      </c>
      <c r="J36" s="92" t="str">
        <f t="shared" si="0"/>
        <v>Bb&lt;2iBf-</v>
      </c>
      <c r="K36" s="92" t="str">
        <f>IF('2.2 Emisiones restos corta'!N45="Quema","Sí",(IF('2.2 Emisiones restos corta'!N45="Descomposición","No",(IF('2.2 Emisiones restos corta'!N45="Producto","No"," ")))))</f>
        <v xml:space="preserve"> </v>
      </c>
      <c r="L36" s="92" t="str">
        <f t="shared" si="1"/>
        <v>Bb&gt;2-</v>
      </c>
      <c r="M36" s="92" t="str">
        <f>IF('2.2 Emisiones restos corta'!P45="Quema","Sí",(IF('2.2 Emisiones restos corta'!P45="Descomposición","No",(IF('2.2 Emisiones restos corta'!P45="Producto","No"," ")))))</f>
        <v xml:space="preserve"> </v>
      </c>
      <c r="N36" s="92" t="str">
        <f t="shared" si="2"/>
        <v>Bt-</v>
      </c>
      <c r="O36" s="190" t="str">
        <f>IF(I36="No",0,IF(I36="Sí",((INDEX(Dades_PA!$B$101:$Y$127,(MATCH(F36,Dades_PA!$A$101:$A$127,0)),(MATCH(J36,Dades_PA!$B$100:$Y$100,0))))*((Dades_PA!$B$131))*H36*1000),""))</f>
        <v/>
      </c>
      <c r="P36" s="190" t="str">
        <f>IF(I36="No",0,IF(I36="Sí",((INDEX(Dades_PA!$B$101:$Y$127,(MATCH(F36,Dades_PA!$A$101:$A$127,0)),(MATCH(J36,Dades_PA!$B$100:$Y$100,0))))*((Dades_PA!$C$131))*H36*1000),""))</f>
        <v/>
      </c>
      <c r="Q36" s="190" t="str">
        <f>IF(K36="No",0,IF(K36="Sí",((INDEX(Dades_PA!$B$101:$Y$127,(MATCH(F36,Dades_PA!$A$101:$A$127,0)),(MATCH(L36,Dades_PA!$B$100:$Y$100,0))))*((Dades_PA!$B$131))*H36*1000),""))</f>
        <v/>
      </c>
      <c r="R36" s="190" t="str">
        <f>IF(K36="No",0,IF(K36="Sí",((INDEX(Dades_PA!$B$101:$Y$127,(MATCH(F36,Dades_PA!$A$101:$A$127,0)),(MATCH(L36,Dades_PA!$B$100:$Y$100,0))))*((Dades_PA!$C$131))*H36*1000),""))</f>
        <v/>
      </c>
      <c r="S36" s="190" t="str">
        <f>IF(M36="No",0,IF(M36="Sí",((INDEX(Dades_PA!$B$101:$Y$127,(MATCH(F36,Dades_PA!$A$101:$A$127,0)),(MATCH(N36,Dades_PA!$B$100:$Y$100,0))))*((Dades_PA!$B$131))*H36*1000),""))</f>
        <v/>
      </c>
      <c r="T36" s="190" t="str">
        <f>IF(M36="No",0,IF(M36="Sí",((INDEX(Dades_PA!$B$101:$Y$127,(MATCH(F36,Dades_PA!$A$101:$A$127,0)),(MATCH(N36,Dades_PA!$B$100:$Y$100,0))))*((Dades_PA!$C$131))*H36*1000),""))</f>
        <v/>
      </c>
      <c r="U36" s="191" t="str">
        <f>IFERROR(((((O36+Q36+S36)*Dades_PA!$B$135)+((P36+R36+T36)*Dades_PA!$B$136))/1000),"")</f>
        <v/>
      </c>
    </row>
    <row r="37" spans="5:21" ht="16.5" customHeight="1" x14ac:dyDescent="0.25">
      <c r="E37" s="383" t="str">
        <f>IF(('1. Datos generales del proyecto'!D34)="","",('1. Datos generales del proyecto'!D34))</f>
        <v/>
      </c>
      <c r="F37" s="176" t="str">
        <f>IF('2.1 Absorciones árboles'!E37=0,"",'2.1 Absorciones árboles'!E37)</f>
        <v/>
      </c>
      <c r="G37" s="389" t="str">
        <f>IF(('2.1 Absorciones árboles'!H37&gt;0),('2.1 Absorciones árboles'!H37),"")</f>
        <v/>
      </c>
      <c r="H37" s="177" t="str">
        <f>IF('2.2 Emisiones restos corta'!I46="","",'2.2 Emisiones restos corta'!I46)</f>
        <v/>
      </c>
      <c r="I37" s="384" t="str">
        <f>IF('2.2 Emisiones restos corta'!L46="Quema","Sí",(IF('2.2 Emisiones restos corta'!L46="Descomposición","No",(IF('2.2 Emisiones restos corta'!L46="Producto","No"," ")))))</f>
        <v xml:space="preserve"> </v>
      </c>
      <c r="J37" s="384" t="str">
        <f t="shared" si="0"/>
        <v>Bb&lt;2iBf-</v>
      </c>
      <c r="K37" s="384" t="str">
        <f>IF('2.2 Emisiones restos corta'!N46="Quema","Sí",(IF('2.2 Emisiones restos corta'!N46="Descomposición","No",(IF('2.2 Emisiones restos corta'!N46="Producto","No"," ")))))</f>
        <v xml:space="preserve"> </v>
      </c>
      <c r="L37" s="384" t="str">
        <f t="shared" si="1"/>
        <v>Bb&gt;2-</v>
      </c>
      <c r="M37" s="384" t="str">
        <f>IF('2.2 Emisiones restos corta'!P46="Quema","Sí",(IF('2.2 Emisiones restos corta'!P46="Descomposición","No",(IF('2.2 Emisiones restos corta'!P46="Producto","No"," ")))))</f>
        <v xml:space="preserve"> </v>
      </c>
      <c r="N37" s="384" t="str">
        <f t="shared" si="2"/>
        <v>Bt-</v>
      </c>
      <c r="O37" s="176" t="str">
        <f>IF(I37="No",0,IF(I37="Sí",((INDEX(Dades_PA!$B$101:$Y$127,(MATCH(F37,Dades_PA!$A$101:$A$127,0)),(MATCH(J37,Dades_PA!$B$100:$Y$100,0))))*((Dades_PA!$B$131))*H37*1000),""))</f>
        <v/>
      </c>
      <c r="P37" s="176" t="str">
        <f>IF(I37="No",0,IF(I37="Sí",((INDEX(Dades_PA!$B$101:$Y$127,(MATCH(F37,Dades_PA!$A$101:$A$127,0)),(MATCH(J37,Dades_PA!$B$100:$Y$100,0))))*((Dades_PA!$C$131))*H37*1000),""))</f>
        <v/>
      </c>
      <c r="Q37" s="176" t="str">
        <f>IF(K37="No",0,IF(K37="Sí",((INDEX(Dades_PA!$B$101:$Y$127,(MATCH(F37,Dades_PA!$A$101:$A$127,0)),(MATCH(L37,Dades_PA!$B$100:$Y$100,0))))*((Dades_PA!$B$131))*H37*1000),""))</f>
        <v/>
      </c>
      <c r="R37" s="176" t="str">
        <f>IF(K37="No",0,IF(K37="Sí",((INDEX(Dades_PA!$B$101:$Y$127,(MATCH(F37,Dades_PA!$A$101:$A$127,0)),(MATCH(L37,Dades_PA!$B$100:$Y$100,0))))*((Dades_PA!$C$131))*H37*1000),""))</f>
        <v/>
      </c>
      <c r="S37" s="176" t="str">
        <f>IF(M37="No",0,IF(M37="Sí",((INDEX(Dades_PA!$B$101:$Y$127,(MATCH(F37,Dades_PA!$A$101:$A$127,0)),(MATCH(N37,Dades_PA!$B$100:$Y$100,0))))*((Dades_PA!$B$131))*H37*1000),""))</f>
        <v/>
      </c>
      <c r="T37" s="176" t="str">
        <f>IF(M37="No",0,IF(M37="Sí",((INDEX(Dades_PA!$B$101:$Y$127,(MATCH(F37,Dades_PA!$A$101:$A$127,0)),(MATCH(N37,Dades_PA!$B$100:$Y$100,0))))*((Dades_PA!$C$131))*H37*1000),""))</f>
        <v/>
      </c>
      <c r="U37" s="390" t="str">
        <f>IFERROR(((((O37+Q37+S37)*Dades_PA!$B$135)+((P37+R37+T37)*Dades_PA!$B$136))/1000),"")</f>
        <v/>
      </c>
    </row>
    <row r="38" spans="5:21" ht="16.5" customHeight="1" x14ac:dyDescent="0.25">
      <c r="E38" s="316"/>
      <c r="F38" s="171" t="str">
        <f>IF('2.1 Absorciones árboles'!E38=0,"",'2.1 Absorciones árboles'!E38)</f>
        <v/>
      </c>
      <c r="G38" s="178" t="str">
        <f>$G$37</f>
        <v/>
      </c>
      <c r="H38" s="177" t="str">
        <f>IF('2.2 Emisiones restos corta'!I47="","",'2.2 Emisiones restos corta'!I47)</f>
        <v/>
      </c>
      <c r="I38" s="88" t="str">
        <f>IF('2.2 Emisiones restos corta'!L47="Quema","Sí",(IF('2.2 Emisiones restos corta'!L47="Descomposición","No",(IF('2.2 Emisiones restos corta'!L47="Producto","No"," ")))))</f>
        <v xml:space="preserve"> </v>
      </c>
      <c r="J38" s="88" t="str">
        <f t="shared" si="0"/>
        <v>Bb&lt;2iBf-</v>
      </c>
      <c r="K38" s="88" t="str">
        <f>IF('2.2 Emisiones restos corta'!N47="Quema","Sí",(IF('2.2 Emisiones restos corta'!N47="Descomposición","No",(IF('2.2 Emisiones restos corta'!N47="Producto","No"," ")))))</f>
        <v xml:space="preserve"> </v>
      </c>
      <c r="L38" s="88" t="str">
        <f t="shared" si="1"/>
        <v>Bb&gt;2-</v>
      </c>
      <c r="M38" s="88" t="str">
        <f>IF('2.2 Emisiones restos corta'!P47="Quema","Sí",(IF('2.2 Emisiones restos corta'!P47="Descomposición","No",(IF('2.2 Emisiones restos corta'!P47="Producto","No"," ")))))</f>
        <v xml:space="preserve"> </v>
      </c>
      <c r="N38" s="88" t="str">
        <f t="shared" si="2"/>
        <v>Bt-</v>
      </c>
      <c r="O38" s="176" t="str">
        <f>IF(I38="No",0,IF(I38="Sí",((INDEX(Dades_PA!$B$101:$Y$127,(MATCH(F38,Dades_PA!$A$101:$A$127,0)),(MATCH(J38,Dades_PA!$B$100:$Y$100,0))))*((Dades_PA!$B$131))*H38*1000),""))</f>
        <v/>
      </c>
      <c r="P38" s="176" t="str">
        <f>IF(I38="No",0,IF(I38="Sí",((INDEX(Dades_PA!$B$101:$Y$127,(MATCH(F38,Dades_PA!$A$101:$A$127,0)),(MATCH(J38,Dades_PA!$B$100:$Y$100,0))))*((Dades_PA!$C$131))*H38*1000),""))</f>
        <v/>
      </c>
      <c r="Q38" s="176" t="str">
        <f>IF(K38="No",0,IF(K38="Sí",((INDEX(Dades_PA!$B$101:$Y$127,(MATCH(F38,Dades_PA!$A$101:$A$127,0)),(MATCH(L38,Dades_PA!$B$100:$Y$100,0))))*((Dades_PA!$B$131))*H38*1000),""))</f>
        <v/>
      </c>
      <c r="R38" s="176" t="str">
        <f>IF(K38="No",0,IF(K38="Sí",((INDEX(Dades_PA!$B$101:$Y$127,(MATCH(F38,Dades_PA!$A$101:$A$127,0)),(MATCH(L38,Dades_PA!$B$100:$Y$100,0))))*((Dades_PA!$C$131))*H38*1000),""))</f>
        <v/>
      </c>
      <c r="S38" s="176" t="str">
        <f>IF(M38="No",0,IF(M38="Sí",((INDEX(Dades_PA!$B$101:$Y$127,(MATCH(F38,Dades_PA!$A$101:$A$127,0)),(MATCH(N38,Dades_PA!$B$100:$Y$100,0))))*((Dades_PA!$B$131))*H38*1000),""))</f>
        <v/>
      </c>
      <c r="T38" s="176" t="str">
        <f>IF(M38="No",0,IF(M38="Sí",((INDEX(Dades_PA!$B$101:$Y$127,(MATCH(F38,Dades_PA!$A$101:$A$127,0)),(MATCH(N38,Dades_PA!$B$100:$Y$100,0))))*((Dades_PA!$C$131))*H38*1000),""))</f>
        <v/>
      </c>
      <c r="U38" s="179" t="str">
        <f>IFERROR(((((O38+Q38+S38)*Dades_PA!$B$135)+((P38+R38+T38)*Dades_PA!$B$136))/1000),"")</f>
        <v/>
      </c>
    </row>
    <row r="39" spans="5:21" ht="16.5" customHeight="1" x14ac:dyDescent="0.25">
      <c r="E39" s="316"/>
      <c r="F39" s="171" t="str">
        <f>IF('2.1 Absorciones árboles'!E39=0,"",'2.1 Absorciones árboles'!E39)</f>
        <v/>
      </c>
      <c r="G39" s="178" t="str">
        <f t="shared" ref="G39:G46" si="6">$G$37</f>
        <v/>
      </c>
      <c r="H39" s="177" t="str">
        <f>IF('2.2 Emisiones restos corta'!I48="","",'2.2 Emisiones restos corta'!I48)</f>
        <v/>
      </c>
      <c r="I39" s="88" t="str">
        <f>IF('2.2 Emisiones restos corta'!L48="Quema","Sí",(IF('2.2 Emisiones restos corta'!L48="Descomposición","No",(IF('2.2 Emisiones restos corta'!L48="Producto","No"," ")))))</f>
        <v xml:space="preserve"> </v>
      </c>
      <c r="J39" s="88" t="str">
        <f t="shared" si="0"/>
        <v>Bb&lt;2iBf-</v>
      </c>
      <c r="K39" s="88" t="str">
        <f>IF('2.2 Emisiones restos corta'!N48="Quema","Sí",(IF('2.2 Emisiones restos corta'!N48="Descomposición","No",(IF('2.2 Emisiones restos corta'!N48="Producto","No"," ")))))</f>
        <v xml:space="preserve"> </v>
      </c>
      <c r="L39" s="88" t="str">
        <f t="shared" si="1"/>
        <v>Bb&gt;2-</v>
      </c>
      <c r="M39" s="88" t="str">
        <f>IF('2.2 Emisiones restos corta'!P48="Quema","Sí",(IF('2.2 Emisiones restos corta'!P48="Descomposición","No",(IF('2.2 Emisiones restos corta'!P48="Producto","No"," ")))))</f>
        <v xml:space="preserve"> </v>
      </c>
      <c r="N39" s="88" t="str">
        <f t="shared" si="2"/>
        <v>Bt-</v>
      </c>
      <c r="O39" s="176" t="str">
        <f>IF(I39="No",0,IF(I39="Sí",((INDEX(Dades_PA!$B$101:$Y$127,(MATCH(F39,Dades_PA!$A$101:$A$127,0)),(MATCH(J39,Dades_PA!$B$100:$Y$100,0))))*((Dades_PA!$B$131))*H39*1000),""))</f>
        <v/>
      </c>
      <c r="P39" s="176" t="str">
        <f>IF(I39="No",0,IF(I39="Sí",((INDEX(Dades_PA!$B$101:$Y$127,(MATCH(F39,Dades_PA!$A$101:$A$127,0)),(MATCH(J39,Dades_PA!$B$100:$Y$100,0))))*((Dades_PA!$C$131))*H39*1000),""))</f>
        <v/>
      </c>
      <c r="Q39" s="176" t="str">
        <f>IF(K39="No",0,IF(K39="Sí",((INDEX(Dades_PA!$B$101:$Y$127,(MATCH(F39,Dades_PA!$A$101:$A$127,0)),(MATCH(L39,Dades_PA!$B$100:$Y$100,0))))*((Dades_PA!$B$131))*H39*1000),""))</f>
        <v/>
      </c>
      <c r="R39" s="176" t="str">
        <f>IF(K39="No",0,IF(K39="Sí",((INDEX(Dades_PA!$B$101:$Y$127,(MATCH(F39,Dades_PA!$A$101:$A$127,0)),(MATCH(L39,Dades_PA!$B$100:$Y$100,0))))*((Dades_PA!$C$131))*H39*1000),""))</f>
        <v/>
      </c>
      <c r="S39" s="176" t="str">
        <f>IF(M39="No",0,IF(M39="Sí",((INDEX(Dades_PA!$B$101:$Y$127,(MATCH(F39,Dades_PA!$A$101:$A$127,0)),(MATCH(N39,Dades_PA!$B$100:$Y$100,0))))*((Dades_PA!$B$131))*H39*1000),""))</f>
        <v/>
      </c>
      <c r="T39" s="176" t="str">
        <f>IF(M39="No",0,IF(M39="Sí",((INDEX(Dades_PA!$B$101:$Y$127,(MATCH(F39,Dades_PA!$A$101:$A$127,0)),(MATCH(N39,Dades_PA!$B$100:$Y$100,0))))*((Dades_PA!$C$131))*H39*1000),""))</f>
        <v/>
      </c>
      <c r="U39" s="179" t="str">
        <f>IFERROR(((((O39+Q39+S39)*Dades_PA!$B$135)+((P39+R39+T39)*Dades_PA!$B$136))/1000),"")</f>
        <v/>
      </c>
    </row>
    <row r="40" spans="5:21" ht="16.5" customHeight="1" x14ac:dyDescent="0.25">
      <c r="E40" s="316"/>
      <c r="F40" s="171" t="str">
        <f>IF('2.1 Absorciones árboles'!E40=0,"",'2.1 Absorciones árboles'!E40)</f>
        <v/>
      </c>
      <c r="G40" s="178" t="str">
        <f t="shared" si="6"/>
        <v/>
      </c>
      <c r="H40" s="177" t="str">
        <f>IF('2.2 Emisiones restos corta'!I49="","",'2.2 Emisiones restos corta'!I49)</f>
        <v/>
      </c>
      <c r="I40" s="88" t="str">
        <f>IF('2.2 Emisiones restos corta'!L49="Quema","Sí",(IF('2.2 Emisiones restos corta'!L49="Descomposición","No",(IF('2.2 Emisiones restos corta'!L49="Producto","No"," ")))))</f>
        <v xml:space="preserve"> </v>
      </c>
      <c r="J40" s="88" t="str">
        <f t="shared" si="0"/>
        <v>Bb&lt;2iBf-</v>
      </c>
      <c r="K40" s="88" t="str">
        <f>IF('2.2 Emisiones restos corta'!N49="Quema","Sí",(IF('2.2 Emisiones restos corta'!N49="Descomposición","No",(IF('2.2 Emisiones restos corta'!N49="Producto","No"," ")))))</f>
        <v xml:space="preserve"> </v>
      </c>
      <c r="L40" s="88" t="str">
        <f t="shared" si="1"/>
        <v>Bb&gt;2-</v>
      </c>
      <c r="M40" s="88" t="str">
        <f>IF('2.2 Emisiones restos corta'!P49="Quema","Sí",(IF('2.2 Emisiones restos corta'!P49="Descomposición","No",(IF('2.2 Emisiones restos corta'!P49="Producto","No"," ")))))</f>
        <v xml:space="preserve"> </v>
      </c>
      <c r="N40" s="88" t="str">
        <f t="shared" si="2"/>
        <v>Bt-</v>
      </c>
      <c r="O40" s="176" t="str">
        <f>IF(I40="No",0,IF(I40="Sí",((INDEX(Dades_PA!$B$101:$Y$127,(MATCH(F40,Dades_PA!$A$101:$A$127,0)),(MATCH(J40,Dades_PA!$B$100:$Y$100,0))))*((Dades_PA!$B$131))*H40*1000),""))</f>
        <v/>
      </c>
      <c r="P40" s="176" t="str">
        <f>IF(I40="No",0,IF(I40="Sí",((INDEX(Dades_PA!$B$101:$Y$127,(MATCH(F40,Dades_PA!$A$101:$A$127,0)),(MATCH(J40,Dades_PA!$B$100:$Y$100,0))))*((Dades_PA!$C$131))*H40*1000),""))</f>
        <v/>
      </c>
      <c r="Q40" s="176" t="str">
        <f>IF(K40="No",0,IF(K40="Sí",((INDEX(Dades_PA!$B$101:$Y$127,(MATCH(F40,Dades_PA!$A$101:$A$127,0)),(MATCH(L40,Dades_PA!$B$100:$Y$100,0))))*((Dades_PA!$B$131))*H40*1000),""))</f>
        <v/>
      </c>
      <c r="R40" s="176" t="str">
        <f>IF(K40="No",0,IF(K40="Sí",((INDEX(Dades_PA!$B$101:$Y$127,(MATCH(F40,Dades_PA!$A$101:$A$127,0)),(MATCH(L40,Dades_PA!$B$100:$Y$100,0))))*((Dades_PA!$C$131))*H40*1000),""))</f>
        <v/>
      </c>
      <c r="S40" s="176" t="str">
        <f>IF(M40="No",0,IF(M40="Sí",((INDEX(Dades_PA!$B$101:$Y$127,(MATCH(F40,Dades_PA!$A$101:$A$127,0)),(MATCH(N40,Dades_PA!$B$100:$Y$100,0))))*((Dades_PA!$B$131))*H40*1000),""))</f>
        <v/>
      </c>
      <c r="T40" s="176" t="str">
        <f>IF(M40="No",0,IF(M40="Sí",((INDEX(Dades_PA!$B$101:$Y$127,(MATCH(F40,Dades_PA!$A$101:$A$127,0)),(MATCH(N40,Dades_PA!$B$100:$Y$100,0))))*((Dades_PA!$C$131))*H40*1000),""))</f>
        <v/>
      </c>
      <c r="U40" s="179" t="str">
        <f>IFERROR(((((O40+Q40+S40)*Dades_PA!$B$135)+((P40+R40+T40)*Dades_PA!$B$136))/1000),"")</f>
        <v/>
      </c>
    </row>
    <row r="41" spans="5:21" ht="16.5" customHeight="1" x14ac:dyDescent="0.25">
      <c r="E41" s="316"/>
      <c r="F41" s="171" t="str">
        <f>IF('2.1 Absorciones árboles'!E41=0,"",'2.1 Absorciones árboles'!E41)</f>
        <v/>
      </c>
      <c r="G41" s="178" t="str">
        <f t="shared" si="6"/>
        <v/>
      </c>
      <c r="H41" s="177" t="str">
        <f>IF('2.2 Emisiones restos corta'!I50="","",'2.2 Emisiones restos corta'!I50)</f>
        <v/>
      </c>
      <c r="I41" s="88" t="str">
        <f>IF('2.2 Emisiones restos corta'!L50="Quema","Sí",(IF('2.2 Emisiones restos corta'!L50="Descomposición","No",(IF('2.2 Emisiones restos corta'!L50="Producto","No"," ")))))</f>
        <v xml:space="preserve"> </v>
      </c>
      <c r="J41" s="88" t="str">
        <f t="shared" si="0"/>
        <v>Bb&lt;2iBf-</v>
      </c>
      <c r="K41" s="88" t="str">
        <f>IF('2.2 Emisiones restos corta'!N50="Quema","Sí",(IF('2.2 Emisiones restos corta'!N50="Descomposición","No",(IF('2.2 Emisiones restos corta'!N50="Producto","No"," ")))))</f>
        <v xml:space="preserve"> </v>
      </c>
      <c r="L41" s="88" t="str">
        <f t="shared" si="1"/>
        <v>Bb&gt;2-</v>
      </c>
      <c r="M41" s="88" t="str">
        <f>IF('2.2 Emisiones restos corta'!P50="Quema","Sí",(IF('2.2 Emisiones restos corta'!P50="Descomposición","No",(IF('2.2 Emisiones restos corta'!P50="Producto","No"," ")))))</f>
        <v xml:space="preserve"> </v>
      </c>
      <c r="N41" s="88" t="str">
        <f t="shared" si="2"/>
        <v>Bt-</v>
      </c>
      <c r="O41" s="176" t="str">
        <f>IF(I41="No",0,IF(I41="Sí",((INDEX(Dades_PA!$B$101:$Y$127,(MATCH(F41,Dades_PA!$A$101:$A$127,0)),(MATCH(J41,Dades_PA!$B$100:$Y$100,0))))*((Dades_PA!$B$131))*H41*1000),""))</f>
        <v/>
      </c>
      <c r="P41" s="176" t="str">
        <f>IF(I41="No",0,IF(I41="Sí",((INDEX(Dades_PA!$B$101:$Y$127,(MATCH(F41,Dades_PA!$A$101:$A$127,0)),(MATCH(J41,Dades_PA!$B$100:$Y$100,0))))*((Dades_PA!$C$131))*H41*1000),""))</f>
        <v/>
      </c>
      <c r="Q41" s="176" t="str">
        <f>IF(K41="No",0,IF(K41="Sí",((INDEX(Dades_PA!$B$101:$Y$127,(MATCH(F41,Dades_PA!$A$101:$A$127,0)),(MATCH(L41,Dades_PA!$B$100:$Y$100,0))))*((Dades_PA!$B$131))*H41*1000),""))</f>
        <v/>
      </c>
      <c r="R41" s="176" t="str">
        <f>IF(K41="No",0,IF(K41="Sí",((INDEX(Dades_PA!$B$101:$Y$127,(MATCH(F41,Dades_PA!$A$101:$A$127,0)),(MATCH(L41,Dades_PA!$B$100:$Y$100,0))))*((Dades_PA!$C$131))*H41*1000),""))</f>
        <v/>
      </c>
      <c r="S41" s="176" t="str">
        <f>IF(M41="No",0,IF(M41="Sí",((INDEX(Dades_PA!$B$101:$Y$127,(MATCH(F41,Dades_PA!$A$101:$A$127,0)),(MATCH(N41,Dades_PA!$B$100:$Y$100,0))))*((Dades_PA!$B$131))*H41*1000),""))</f>
        <v/>
      </c>
      <c r="T41" s="176" t="str">
        <f>IF(M41="No",0,IF(M41="Sí",((INDEX(Dades_PA!$B$101:$Y$127,(MATCH(F41,Dades_PA!$A$101:$A$127,0)),(MATCH(N41,Dades_PA!$B$100:$Y$100,0))))*((Dades_PA!$C$131))*H41*1000),""))</f>
        <v/>
      </c>
      <c r="U41" s="179" t="str">
        <f>IFERROR(((((O41+Q41+S41)*Dades_PA!$B$135)+((P41+R41+T41)*Dades_PA!$B$136))/1000),"")</f>
        <v/>
      </c>
    </row>
    <row r="42" spans="5:21" ht="16.5" customHeight="1" x14ac:dyDescent="0.25">
      <c r="E42" s="316"/>
      <c r="F42" s="171" t="str">
        <f>IF('2.1 Absorciones árboles'!E42=0,"",'2.1 Absorciones árboles'!E42)</f>
        <v/>
      </c>
      <c r="G42" s="178" t="str">
        <f t="shared" si="6"/>
        <v/>
      </c>
      <c r="H42" s="177" t="str">
        <f>IF('2.2 Emisiones restos corta'!I51="","",'2.2 Emisiones restos corta'!I51)</f>
        <v/>
      </c>
      <c r="I42" s="88" t="str">
        <f>IF('2.2 Emisiones restos corta'!L51="Quema","Sí",(IF('2.2 Emisiones restos corta'!L51="Descomposición","No",(IF('2.2 Emisiones restos corta'!L51="Producto","No"," ")))))</f>
        <v xml:space="preserve"> </v>
      </c>
      <c r="J42" s="88" t="str">
        <f t="shared" si="0"/>
        <v>Bb&lt;2iBf-</v>
      </c>
      <c r="K42" s="88" t="str">
        <f>IF('2.2 Emisiones restos corta'!N51="Quema","Sí",(IF('2.2 Emisiones restos corta'!N51="Descomposición","No",(IF('2.2 Emisiones restos corta'!N51="Producto","No"," ")))))</f>
        <v xml:space="preserve"> </v>
      </c>
      <c r="L42" s="88" t="str">
        <f t="shared" si="1"/>
        <v>Bb&gt;2-</v>
      </c>
      <c r="M42" s="88" t="str">
        <f>IF('2.2 Emisiones restos corta'!P51="Quema","Sí",(IF('2.2 Emisiones restos corta'!P51="Descomposición","No",(IF('2.2 Emisiones restos corta'!P51="Producto","No"," ")))))</f>
        <v xml:space="preserve"> </v>
      </c>
      <c r="N42" s="88" t="str">
        <f t="shared" si="2"/>
        <v>Bt-</v>
      </c>
      <c r="O42" s="176" t="str">
        <f>IF(I42="No",0,IF(I42="Sí",((INDEX(Dades_PA!$B$101:$Y$127,(MATCH(F42,Dades_PA!$A$101:$A$127,0)),(MATCH(J42,Dades_PA!$B$100:$Y$100,0))))*((Dades_PA!$B$131))*H42*1000),""))</f>
        <v/>
      </c>
      <c r="P42" s="176" t="str">
        <f>IF(I42="No",0,IF(I42="Sí",((INDEX(Dades_PA!$B$101:$Y$127,(MATCH(F42,Dades_PA!$A$101:$A$127,0)),(MATCH(J42,Dades_PA!$B$100:$Y$100,0))))*((Dades_PA!$C$131))*H42*1000),""))</f>
        <v/>
      </c>
      <c r="Q42" s="176" t="str">
        <f>IF(K42="No",0,IF(K42="Sí",((INDEX(Dades_PA!$B$101:$Y$127,(MATCH(F42,Dades_PA!$A$101:$A$127,0)),(MATCH(L42,Dades_PA!$B$100:$Y$100,0))))*((Dades_PA!$B$131))*H42*1000),""))</f>
        <v/>
      </c>
      <c r="R42" s="176" t="str">
        <f>IF(K42="No",0,IF(K42="Sí",((INDEX(Dades_PA!$B$101:$Y$127,(MATCH(F42,Dades_PA!$A$101:$A$127,0)),(MATCH(L42,Dades_PA!$B$100:$Y$100,0))))*((Dades_PA!$C$131))*H42*1000),""))</f>
        <v/>
      </c>
      <c r="S42" s="176" t="str">
        <f>IF(M42="No",0,IF(M42="Sí",((INDEX(Dades_PA!$B$101:$Y$127,(MATCH(F42,Dades_PA!$A$101:$A$127,0)),(MATCH(N42,Dades_PA!$B$100:$Y$100,0))))*((Dades_PA!$B$131))*H42*1000),""))</f>
        <v/>
      </c>
      <c r="T42" s="176" t="str">
        <f>IF(M42="No",0,IF(M42="Sí",((INDEX(Dades_PA!$B$101:$Y$127,(MATCH(F42,Dades_PA!$A$101:$A$127,0)),(MATCH(N42,Dades_PA!$B$100:$Y$100,0))))*((Dades_PA!$C$131))*H42*1000),""))</f>
        <v/>
      </c>
      <c r="U42" s="179" t="str">
        <f>IFERROR(((((O42+Q42+S42)*Dades_PA!$B$135)+((P42+R42+T42)*Dades_PA!$B$136))/1000),"")</f>
        <v/>
      </c>
    </row>
    <row r="43" spans="5:21" ht="15" customHeight="1" x14ac:dyDescent="0.25">
      <c r="E43" s="316"/>
      <c r="F43" s="171" t="str">
        <f>IF('2.1 Absorciones árboles'!E43=0,"",'2.1 Absorciones árboles'!E43)</f>
        <v/>
      </c>
      <c r="G43" s="178" t="str">
        <f t="shared" si="6"/>
        <v/>
      </c>
      <c r="H43" s="177" t="str">
        <f>IF('2.2 Emisiones restos corta'!I52="","",'2.2 Emisiones restos corta'!I52)</f>
        <v/>
      </c>
      <c r="I43" s="88" t="str">
        <f>IF('2.2 Emisiones restos corta'!L52="Quema","Sí",(IF('2.2 Emisiones restos corta'!L52="Descomposición","No",(IF('2.2 Emisiones restos corta'!L52="Producto","No"," ")))))</f>
        <v xml:space="preserve"> </v>
      </c>
      <c r="J43" s="88" t="str">
        <f t="shared" si="0"/>
        <v>Bb&lt;2iBf-</v>
      </c>
      <c r="K43" s="88" t="str">
        <f>IF('2.2 Emisiones restos corta'!N52="Quema","Sí",(IF('2.2 Emisiones restos corta'!N52="Descomposición","No",(IF('2.2 Emisiones restos corta'!N52="Producto","No"," ")))))</f>
        <v xml:space="preserve"> </v>
      </c>
      <c r="L43" s="88" t="str">
        <f t="shared" si="1"/>
        <v>Bb&gt;2-</v>
      </c>
      <c r="M43" s="88" t="str">
        <f>IF('2.2 Emisiones restos corta'!P52="Quema","Sí",(IF('2.2 Emisiones restos corta'!P52="Descomposición","No",(IF('2.2 Emisiones restos corta'!P52="Producto","No"," ")))))</f>
        <v xml:space="preserve"> </v>
      </c>
      <c r="N43" s="88" t="str">
        <f t="shared" si="2"/>
        <v>Bt-</v>
      </c>
      <c r="O43" s="176" t="str">
        <f>IF(I43="No",0,IF(I43="Sí",((INDEX(Dades_PA!$B$101:$Y$127,(MATCH(F43,Dades_PA!$A$101:$A$127,0)),(MATCH(J43,Dades_PA!$B$100:$Y$100,0))))*((Dades_PA!$B$131))*H43*1000),""))</f>
        <v/>
      </c>
      <c r="P43" s="176" t="str">
        <f>IF(I43="No",0,IF(I43="Sí",((INDEX(Dades_PA!$B$101:$Y$127,(MATCH(F43,Dades_PA!$A$101:$A$127,0)),(MATCH(J43,Dades_PA!$B$100:$Y$100,0))))*((Dades_PA!$C$131))*H43*1000),""))</f>
        <v/>
      </c>
      <c r="Q43" s="176" t="str">
        <f>IF(K43="No",0,IF(K43="Sí",((INDEX(Dades_PA!$B$101:$Y$127,(MATCH(F43,Dades_PA!$A$101:$A$127,0)),(MATCH(L43,Dades_PA!$B$100:$Y$100,0))))*((Dades_PA!$B$131))*H43*1000),""))</f>
        <v/>
      </c>
      <c r="R43" s="176" t="str">
        <f>IF(K43="No",0,IF(K43="Sí",((INDEX(Dades_PA!$B$101:$Y$127,(MATCH(F43,Dades_PA!$A$101:$A$127,0)),(MATCH(L43,Dades_PA!$B$100:$Y$100,0))))*((Dades_PA!$C$131))*H43*1000),""))</f>
        <v/>
      </c>
      <c r="S43" s="176" t="str">
        <f>IF(M43="No",0,IF(M43="Sí",((INDEX(Dades_PA!$B$101:$Y$127,(MATCH(F43,Dades_PA!$A$101:$A$127,0)),(MATCH(N43,Dades_PA!$B$100:$Y$100,0))))*((Dades_PA!$B$131))*H43*1000),""))</f>
        <v/>
      </c>
      <c r="T43" s="176" t="str">
        <f>IF(M43="No",0,IF(M43="Sí",((INDEX(Dades_PA!$B$101:$Y$127,(MATCH(F43,Dades_PA!$A$101:$A$127,0)),(MATCH(N43,Dades_PA!$B$100:$Y$100,0))))*((Dades_PA!$C$131))*H43*1000),""))</f>
        <v/>
      </c>
      <c r="U43" s="179" t="str">
        <f>IFERROR(((((O43+Q43+S43)*Dades_PA!$B$135)+((P43+R43+T43)*Dades_PA!$B$136))/1000),"")</f>
        <v/>
      </c>
    </row>
    <row r="44" spans="5:21" ht="16.5" customHeight="1" x14ac:dyDescent="0.25">
      <c r="E44" s="316"/>
      <c r="F44" s="171" t="str">
        <f>IF('2.1 Absorciones árboles'!E44=0,"",'2.1 Absorciones árboles'!E44)</f>
        <v/>
      </c>
      <c r="G44" s="178" t="str">
        <f t="shared" si="6"/>
        <v/>
      </c>
      <c r="H44" s="177" t="str">
        <f>IF('2.2 Emisiones restos corta'!I53="","",'2.2 Emisiones restos corta'!I53)</f>
        <v/>
      </c>
      <c r="I44" s="88" t="str">
        <f>IF('2.2 Emisiones restos corta'!L53="Quema","Sí",(IF('2.2 Emisiones restos corta'!L53="Descomposición","No",(IF('2.2 Emisiones restos corta'!L53="Producto","No"," ")))))</f>
        <v xml:space="preserve"> </v>
      </c>
      <c r="J44" s="88" t="str">
        <f t="shared" si="0"/>
        <v>Bb&lt;2iBf-</v>
      </c>
      <c r="K44" s="88" t="str">
        <f>IF('2.2 Emisiones restos corta'!N53="Quema","Sí",(IF('2.2 Emisiones restos corta'!N53="Descomposición","No",(IF('2.2 Emisiones restos corta'!N53="Producto","No"," ")))))</f>
        <v xml:space="preserve"> </v>
      </c>
      <c r="L44" s="88" t="str">
        <f t="shared" si="1"/>
        <v>Bb&gt;2-</v>
      </c>
      <c r="M44" s="88" t="str">
        <f>IF('2.2 Emisiones restos corta'!P53="Quema","Sí",(IF('2.2 Emisiones restos corta'!P53="Descomposición","No",(IF('2.2 Emisiones restos corta'!P53="Producto","No"," ")))))</f>
        <v xml:space="preserve"> </v>
      </c>
      <c r="N44" s="88" t="str">
        <f t="shared" si="2"/>
        <v>Bt-</v>
      </c>
      <c r="O44" s="176" t="str">
        <f>IF(I44="No",0,IF(I44="Sí",((INDEX(Dades_PA!$B$101:$Y$127,(MATCH(F44,Dades_PA!$A$101:$A$127,0)),(MATCH(J44,Dades_PA!$B$100:$Y$100,0))))*((Dades_PA!$B$131))*H44*1000),""))</f>
        <v/>
      </c>
      <c r="P44" s="176" t="str">
        <f>IF(I44="No",0,IF(I44="Sí",((INDEX(Dades_PA!$B$101:$Y$127,(MATCH(F44,Dades_PA!$A$101:$A$127,0)),(MATCH(J44,Dades_PA!$B$100:$Y$100,0))))*((Dades_PA!$C$131))*H44*1000),""))</f>
        <v/>
      </c>
      <c r="Q44" s="176" t="str">
        <f>IF(K44="No",0,IF(K44="Sí",((INDEX(Dades_PA!$B$101:$Y$127,(MATCH(F44,Dades_PA!$A$101:$A$127,0)),(MATCH(L44,Dades_PA!$B$100:$Y$100,0))))*((Dades_PA!$B$131))*H44*1000),""))</f>
        <v/>
      </c>
      <c r="R44" s="176" t="str">
        <f>IF(K44="No",0,IF(K44="Sí",((INDEX(Dades_PA!$B$101:$Y$127,(MATCH(F44,Dades_PA!$A$101:$A$127,0)),(MATCH(L44,Dades_PA!$B$100:$Y$100,0))))*((Dades_PA!$C$131))*H44*1000),""))</f>
        <v/>
      </c>
      <c r="S44" s="176" t="str">
        <f>IF(M44="No",0,IF(M44="Sí",((INDEX(Dades_PA!$B$101:$Y$127,(MATCH(F44,Dades_PA!$A$101:$A$127,0)),(MATCH(N44,Dades_PA!$B$100:$Y$100,0))))*((Dades_PA!$B$131))*H44*1000),""))</f>
        <v/>
      </c>
      <c r="T44" s="176" t="str">
        <f>IF(M44="No",0,IF(M44="Sí",((INDEX(Dades_PA!$B$101:$Y$127,(MATCH(F44,Dades_PA!$A$101:$A$127,0)),(MATCH(N44,Dades_PA!$B$100:$Y$100,0))))*((Dades_PA!$C$131))*H44*1000),""))</f>
        <v/>
      </c>
      <c r="U44" s="179" t="str">
        <f>IFERROR(((((O44+Q44+S44)*Dades_PA!$B$135)+((P44+R44+T44)*Dades_PA!$B$136))/1000),"")</f>
        <v/>
      </c>
    </row>
    <row r="45" spans="5:21" ht="15" customHeight="1" x14ac:dyDescent="0.25">
      <c r="E45" s="316"/>
      <c r="F45" s="171" t="str">
        <f>IF('2.1 Absorciones árboles'!E45=0,"",'2.1 Absorciones árboles'!E45)</f>
        <v/>
      </c>
      <c r="G45" s="178" t="str">
        <f t="shared" si="6"/>
        <v/>
      </c>
      <c r="H45" s="177" t="str">
        <f>IF('2.2 Emisiones restos corta'!I54="","",'2.2 Emisiones restos corta'!I54)</f>
        <v/>
      </c>
      <c r="I45" s="88" t="str">
        <f>IF('2.2 Emisiones restos corta'!L54="Quema","Sí",(IF('2.2 Emisiones restos corta'!L54="Descomposición","No",(IF('2.2 Emisiones restos corta'!L54="Producto","No"," ")))))</f>
        <v xml:space="preserve"> </v>
      </c>
      <c r="J45" s="88" t="str">
        <f t="shared" si="0"/>
        <v>Bb&lt;2iBf-</v>
      </c>
      <c r="K45" s="88" t="str">
        <f>IF('2.2 Emisiones restos corta'!N54="Quema","Sí",(IF('2.2 Emisiones restos corta'!N54="Descomposición","No",(IF('2.2 Emisiones restos corta'!N54="Producto","No"," ")))))</f>
        <v xml:space="preserve"> </v>
      </c>
      <c r="L45" s="88" t="str">
        <f t="shared" si="1"/>
        <v>Bb&gt;2-</v>
      </c>
      <c r="M45" s="88" t="str">
        <f>IF('2.2 Emisiones restos corta'!P54="Quema","Sí",(IF('2.2 Emisiones restos corta'!P54="Descomposición","No",(IF('2.2 Emisiones restos corta'!P54="Producto","No"," ")))))</f>
        <v xml:space="preserve"> </v>
      </c>
      <c r="N45" s="88" t="str">
        <f t="shared" si="2"/>
        <v>Bt-</v>
      </c>
      <c r="O45" s="176" t="str">
        <f>IF(I45="No",0,IF(I45="Sí",((INDEX(Dades_PA!$B$101:$Y$127,(MATCH(F45,Dades_PA!$A$101:$A$127,0)),(MATCH(J45,Dades_PA!$B$100:$Y$100,0))))*((Dades_PA!$B$131))*H45*1000),""))</f>
        <v/>
      </c>
      <c r="P45" s="176" t="str">
        <f>IF(I45="No",0,IF(I45="Sí",((INDEX(Dades_PA!$B$101:$Y$127,(MATCH(F45,Dades_PA!$A$101:$A$127,0)),(MATCH(J45,Dades_PA!$B$100:$Y$100,0))))*((Dades_PA!$C$131))*H45*1000),""))</f>
        <v/>
      </c>
      <c r="Q45" s="176" t="str">
        <f>IF(K45="No",0,IF(K45="Sí",((INDEX(Dades_PA!$B$101:$Y$127,(MATCH(F45,Dades_PA!$A$101:$A$127,0)),(MATCH(L45,Dades_PA!$B$100:$Y$100,0))))*((Dades_PA!$B$131))*H45*1000),""))</f>
        <v/>
      </c>
      <c r="R45" s="176" t="str">
        <f>IF(K45="No",0,IF(K45="Sí",((INDEX(Dades_PA!$B$101:$Y$127,(MATCH(F45,Dades_PA!$A$101:$A$127,0)),(MATCH(L45,Dades_PA!$B$100:$Y$100,0))))*((Dades_PA!$C$131))*H45*1000),""))</f>
        <v/>
      </c>
      <c r="S45" s="176" t="str">
        <f>IF(M45="No",0,IF(M45="Sí",((INDEX(Dades_PA!$B$101:$Y$127,(MATCH(F45,Dades_PA!$A$101:$A$127,0)),(MATCH(N45,Dades_PA!$B$100:$Y$100,0))))*((Dades_PA!$B$131))*H45*1000),""))</f>
        <v/>
      </c>
      <c r="T45" s="176" t="str">
        <f>IF(M45="No",0,IF(M45="Sí",((INDEX(Dades_PA!$B$101:$Y$127,(MATCH(F45,Dades_PA!$A$101:$A$127,0)),(MATCH(N45,Dades_PA!$B$100:$Y$100,0))))*((Dades_PA!$C$131))*H45*1000),""))</f>
        <v/>
      </c>
      <c r="U45" s="179" t="str">
        <f>IFERROR(((((O45+Q45+S45)*Dades_PA!$B$135)+((P45+R45+T45)*Dades_PA!$B$136))/1000),"")</f>
        <v/>
      </c>
    </row>
    <row r="46" spans="5:21" ht="16.5" customHeight="1" thickBot="1" x14ac:dyDescent="0.3">
      <c r="E46" s="320"/>
      <c r="F46" s="180" t="str">
        <f>IF('2.1 Absorciones árboles'!E46=0,"",'2.1 Absorciones árboles'!E46)</f>
        <v/>
      </c>
      <c r="G46" s="181" t="str">
        <f t="shared" si="6"/>
        <v/>
      </c>
      <c r="H46" s="182" t="str">
        <f>IF('2.2 Emisiones restos corta'!I55="","",'2.2 Emisiones restos corta'!I55)</f>
        <v/>
      </c>
      <c r="I46" s="169" t="str">
        <f>IF('2.2 Emisiones restos corta'!L55="Quema","Sí",(IF('2.2 Emisiones restos corta'!L55="Descomposición","No",(IF('2.2 Emisiones restos corta'!L55="Producto","No"," ")))))</f>
        <v xml:space="preserve"> </v>
      </c>
      <c r="J46" s="169" t="str">
        <f t="shared" si="0"/>
        <v>Bb&lt;2iBf-</v>
      </c>
      <c r="K46" s="169" t="str">
        <f>IF('2.2 Emisiones restos corta'!N55="Quema","Sí",(IF('2.2 Emisiones restos corta'!N55="Descomposición","No",(IF('2.2 Emisiones restos corta'!N55="Producto","No"," ")))))</f>
        <v xml:space="preserve"> </v>
      </c>
      <c r="L46" s="169" t="str">
        <f t="shared" si="1"/>
        <v>Bb&gt;2-</v>
      </c>
      <c r="M46" s="169" t="str">
        <f>IF('2.2 Emisiones restos corta'!P55="Quema","Sí",(IF('2.2 Emisiones restos corta'!P55="Descomposición","No",(IF('2.2 Emisiones restos corta'!P55="Producto","No"," ")))))</f>
        <v xml:space="preserve"> </v>
      </c>
      <c r="N46" s="169" t="str">
        <f t="shared" si="2"/>
        <v>Bt-</v>
      </c>
      <c r="O46" s="183" t="str">
        <f>IF(I46="No",0,IF(I46="Sí",((INDEX(Dades_PA!$B$101:$Y$127,(MATCH(F46,Dades_PA!$A$101:$A$127,0)),(MATCH(J46,Dades_PA!$B$100:$Y$100,0))))*((Dades_PA!$B$131))*H46*1000),""))</f>
        <v/>
      </c>
      <c r="P46" s="183" t="str">
        <f>IF(I46="No",0,IF(I46="Sí",((INDEX(Dades_PA!$B$101:$Y$127,(MATCH(F46,Dades_PA!$A$101:$A$127,0)),(MATCH(J46,Dades_PA!$B$100:$Y$100,0))))*((Dades_PA!$C$131))*H46*1000),""))</f>
        <v/>
      </c>
      <c r="Q46" s="183" t="str">
        <f>IF(K46="No",0,IF(K46="Sí",((INDEX(Dades_PA!$B$101:$Y$127,(MATCH(F46,Dades_PA!$A$101:$A$127,0)),(MATCH(L46,Dades_PA!$B$100:$Y$100,0))))*((Dades_PA!$B$131))*H46*1000),""))</f>
        <v/>
      </c>
      <c r="R46" s="183" t="str">
        <f>IF(K46="No",0,IF(K46="Sí",((INDEX(Dades_PA!$B$101:$Y$127,(MATCH(F46,Dades_PA!$A$101:$A$127,0)),(MATCH(L46,Dades_PA!$B$100:$Y$100,0))))*((Dades_PA!$C$131))*H46*1000),""))</f>
        <v/>
      </c>
      <c r="S46" s="183" t="str">
        <f>IF(M46="No",0,IF(M46="Sí",((INDEX(Dades_PA!$B$101:$Y$127,(MATCH(F46,Dades_PA!$A$101:$A$127,0)),(MATCH(N46,Dades_PA!$B$100:$Y$100,0))))*((Dades_PA!$B$131))*H46*1000),""))</f>
        <v/>
      </c>
      <c r="T46" s="183" t="str">
        <f>IF(M46="No",0,IF(M46="Sí",((INDEX(Dades_PA!$B$101:$Y$127,(MATCH(F46,Dades_PA!$A$101:$A$127,0)),(MATCH(N46,Dades_PA!$B$100:$Y$100,0))))*((Dades_PA!$C$131))*H46*1000),""))</f>
        <v/>
      </c>
      <c r="U46" s="184" t="str">
        <f>IFERROR(((((O46+Q46+S46)*Dades_PA!$B$135)+((P46+R46+T46)*Dades_PA!$B$136))/1000),"")</f>
        <v/>
      </c>
    </row>
    <row r="47" spans="5:21" ht="16.5" customHeight="1" x14ac:dyDescent="0.25">
      <c r="E47" s="315" t="str">
        <f>IF(('1. Datos generales del proyecto'!D35)="","",('1. Datos generales del proyecto'!D35))</f>
        <v/>
      </c>
      <c r="F47" s="170" t="str">
        <f>IF('2.1 Absorciones árboles'!E47=0,"",'2.1 Absorciones árboles'!E47)</f>
        <v/>
      </c>
      <c r="G47" s="185" t="str">
        <f>IF(('2.1 Absorciones árboles'!H47&gt;0),('2.1 Absorciones árboles'!H47),"")</f>
        <v/>
      </c>
      <c r="H47" s="186" t="str">
        <f>IF('2.2 Emisiones restos corta'!I56="","",'2.2 Emisiones restos corta'!I56)</f>
        <v/>
      </c>
      <c r="I47" s="84" t="str">
        <f>IF('2.2 Emisiones restos corta'!L56="Quema","Sí",(IF('2.2 Emisiones restos corta'!L56="Descomposición","No",(IF('2.2 Emisiones restos corta'!L56="Producto","No"," ")))))</f>
        <v xml:space="preserve"> </v>
      </c>
      <c r="J47" s="84" t="str">
        <f t="shared" si="0"/>
        <v>Bb&lt;2iBf-</v>
      </c>
      <c r="K47" s="84" t="str">
        <f>IF('2.2 Emisiones restos corta'!N56="Quema","Sí",(IF('2.2 Emisiones restos corta'!N56="Descomposición","No",(IF('2.2 Emisiones restos corta'!N56="Producto","No"," ")))))</f>
        <v xml:space="preserve"> </v>
      </c>
      <c r="L47" s="84" t="str">
        <f t="shared" si="1"/>
        <v>Bb&gt;2-</v>
      </c>
      <c r="M47" s="84" t="str">
        <f>IF('2.2 Emisiones restos corta'!P56="Quema","Sí",(IF('2.2 Emisiones restos corta'!P56="Descomposición","No",(IF('2.2 Emisiones restos corta'!P56="Producto","No"," ")))))</f>
        <v xml:space="preserve"> </v>
      </c>
      <c r="N47" s="84" t="str">
        <f t="shared" si="2"/>
        <v>Bt-</v>
      </c>
      <c r="O47" s="170" t="str">
        <f>IF(I47="No",0,IF(I47="Sí",((INDEX(Dades_PA!$B$101:$Y$127,(MATCH(F47,Dades_PA!$A$101:$A$127,0)),(MATCH(J47,Dades_PA!$B$100:$Y$100,0))))*((Dades_PA!$B$131))*H47*1000),""))</f>
        <v/>
      </c>
      <c r="P47" s="170" t="str">
        <f>IF(I47="No",0,IF(I47="Sí",((INDEX(Dades_PA!$B$101:$Y$127,(MATCH(F47,Dades_PA!$A$101:$A$127,0)),(MATCH(J47,Dades_PA!$B$100:$Y$100,0))))*((Dades_PA!$C$131))*H47*1000),""))</f>
        <v/>
      </c>
      <c r="Q47" s="170" t="str">
        <f>IF(K47="No",0,IF(K47="Sí",((INDEX(Dades_PA!$B$101:$Y$127,(MATCH(F47,Dades_PA!$A$101:$A$127,0)),(MATCH(L47,Dades_PA!$B$100:$Y$100,0))))*((Dades_PA!$B$131))*H47*1000),""))</f>
        <v/>
      </c>
      <c r="R47" s="170" t="str">
        <f>IF(K47="No",0,IF(K47="Sí",((INDEX(Dades_PA!$B$101:$Y$127,(MATCH(F47,Dades_PA!$A$101:$A$127,0)),(MATCH(L47,Dades_PA!$B$100:$Y$100,0))))*((Dades_PA!$C$131))*H47*1000),""))</f>
        <v/>
      </c>
      <c r="S47" s="170" t="str">
        <f>IF(M47="No",0,IF(M47="Sí",((INDEX(Dades_PA!$B$101:$Y$127,(MATCH(F47,Dades_PA!$A$101:$A$127,0)),(MATCH(N47,Dades_PA!$B$100:$Y$100,0))))*((Dades_PA!$B$131))*H47*1000),""))</f>
        <v/>
      </c>
      <c r="T47" s="170" t="str">
        <f>IF(M47="No",0,IF(M47="Sí",((INDEX(Dades_PA!$B$101:$Y$127,(MATCH(F47,Dades_PA!$A$101:$A$127,0)),(MATCH(N47,Dades_PA!$B$100:$Y$100,0))))*((Dades_PA!$C$131))*H47*1000),""))</f>
        <v/>
      </c>
      <c r="U47" s="187" t="str">
        <f>IFERROR(((((O47+Q47+S47)*Dades_PA!$B$135)+((P47+R47+T47)*Dades_PA!$B$136))/1000),"")</f>
        <v/>
      </c>
    </row>
    <row r="48" spans="5:21" ht="15" customHeight="1" x14ac:dyDescent="0.25">
      <c r="E48" s="316"/>
      <c r="F48" s="171" t="str">
        <f>IF('2.1 Absorciones árboles'!E48=0,"",'2.1 Absorciones árboles'!E48)</f>
        <v/>
      </c>
      <c r="G48" s="178" t="str">
        <f>$G$47</f>
        <v/>
      </c>
      <c r="H48" s="177" t="str">
        <f>IF('2.2 Emisiones restos corta'!I57="","",'2.2 Emisiones restos corta'!I57)</f>
        <v/>
      </c>
      <c r="I48" s="88" t="str">
        <f>IF('2.2 Emisiones restos corta'!L57="Quema","Sí",(IF('2.2 Emisiones restos corta'!L57="Descomposición","No",(IF('2.2 Emisiones restos corta'!L57="Producto","No"," ")))))</f>
        <v xml:space="preserve"> </v>
      </c>
      <c r="J48" s="88" t="str">
        <f t="shared" si="0"/>
        <v>Bb&lt;2iBf-</v>
      </c>
      <c r="K48" s="88" t="str">
        <f>IF('2.2 Emisiones restos corta'!N57="Quema","Sí",(IF('2.2 Emisiones restos corta'!N57="Descomposición","No",(IF('2.2 Emisiones restos corta'!N57="Producto","No"," ")))))</f>
        <v xml:space="preserve"> </v>
      </c>
      <c r="L48" s="88" t="str">
        <f t="shared" si="1"/>
        <v>Bb&gt;2-</v>
      </c>
      <c r="M48" s="88" t="str">
        <f>IF('2.2 Emisiones restos corta'!P57="Quema","Sí",(IF('2.2 Emisiones restos corta'!P57="Descomposición","No",(IF('2.2 Emisiones restos corta'!P57="Producto","No"," ")))))</f>
        <v xml:space="preserve"> </v>
      </c>
      <c r="N48" s="88" t="str">
        <f t="shared" si="2"/>
        <v>Bt-</v>
      </c>
      <c r="O48" s="176" t="str">
        <f>IF(I48="No",0,IF(I48="Sí",((INDEX(Dades_PA!$B$101:$Y$127,(MATCH(F48,Dades_PA!$A$101:$A$127,0)),(MATCH(J48,Dades_PA!$B$100:$Y$100,0))))*((Dades_PA!$B$131))*H48*1000),""))</f>
        <v/>
      </c>
      <c r="P48" s="176" t="str">
        <f>IF(I48="No",0,IF(I48="Sí",((INDEX(Dades_PA!$B$101:$Y$127,(MATCH(F48,Dades_PA!$A$101:$A$127,0)),(MATCH(J48,Dades_PA!$B$100:$Y$100,0))))*((Dades_PA!$C$131))*H48*1000),""))</f>
        <v/>
      </c>
      <c r="Q48" s="176" t="str">
        <f>IF(K48="No",0,IF(K48="Sí",((INDEX(Dades_PA!$B$101:$Y$127,(MATCH(F48,Dades_PA!$A$101:$A$127,0)),(MATCH(L48,Dades_PA!$B$100:$Y$100,0))))*((Dades_PA!$B$131))*H48*1000),""))</f>
        <v/>
      </c>
      <c r="R48" s="176" t="str">
        <f>IF(K48="No",0,IF(K48="Sí",((INDEX(Dades_PA!$B$101:$Y$127,(MATCH(F48,Dades_PA!$A$101:$A$127,0)),(MATCH(L48,Dades_PA!$B$100:$Y$100,0))))*((Dades_PA!$C$131))*H48*1000),""))</f>
        <v/>
      </c>
      <c r="S48" s="176" t="str">
        <f>IF(M48="No",0,IF(M48="Sí",((INDEX(Dades_PA!$B$101:$Y$127,(MATCH(F48,Dades_PA!$A$101:$A$127,0)),(MATCH(N48,Dades_PA!$B$100:$Y$100,0))))*((Dades_PA!$B$131))*H48*1000),""))</f>
        <v/>
      </c>
      <c r="T48" s="176" t="str">
        <f>IF(M48="No",0,IF(M48="Sí",((INDEX(Dades_PA!$B$101:$Y$127,(MATCH(F48,Dades_PA!$A$101:$A$127,0)),(MATCH(N48,Dades_PA!$B$100:$Y$100,0))))*((Dades_PA!$C$131))*H48*1000),""))</f>
        <v/>
      </c>
      <c r="U48" s="179" t="str">
        <f>IFERROR(((((O48+Q48+S48)*Dades_PA!$B$135)+((P48+R48+T48)*Dades_PA!$B$136))/1000),"")</f>
        <v/>
      </c>
    </row>
    <row r="49" spans="5:21" ht="16.5" customHeight="1" x14ac:dyDescent="0.25">
      <c r="E49" s="316"/>
      <c r="F49" s="171" t="str">
        <f>IF('2.1 Absorciones árboles'!E49=0,"",'2.1 Absorciones árboles'!E49)</f>
        <v/>
      </c>
      <c r="G49" s="178" t="str">
        <f t="shared" ref="G49:G56" si="7">$G$47</f>
        <v/>
      </c>
      <c r="H49" s="177" t="str">
        <f>IF('2.2 Emisiones restos corta'!I58="","",'2.2 Emisiones restos corta'!I58)</f>
        <v/>
      </c>
      <c r="I49" s="88" t="str">
        <f>IF('2.2 Emisiones restos corta'!L58="Quema","Sí",(IF('2.2 Emisiones restos corta'!L58="Descomposición","No",(IF('2.2 Emisiones restos corta'!L58="Producto","No"," ")))))</f>
        <v xml:space="preserve"> </v>
      </c>
      <c r="J49" s="88" t="str">
        <f t="shared" si="0"/>
        <v>Bb&lt;2iBf-</v>
      </c>
      <c r="K49" s="88" t="str">
        <f>IF('2.2 Emisiones restos corta'!N58="Quema","Sí",(IF('2.2 Emisiones restos corta'!N58="Descomposición","No",(IF('2.2 Emisiones restos corta'!N58="Producto","No"," ")))))</f>
        <v xml:space="preserve"> </v>
      </c>
      <c r="L49" s="88" t="str">
        <f t="shared" si="1"/>
        <v>Bb&gt;2-</v>
      </c>
      <c r="M49" s="88" t="str">
        <f>IF('2.2 Emisiones restos corta'!P58="Quema","Sí",(IF('2.2 Emisiones restos corta'!P58="Descomposición","No",(IF('2.2 Emisiones restos corta'!P58="Producto","No"," ")))))</f>
        <v xml:space="preserve"> </v>
      </c>
      <c r="N49" s="88" t="str">
        <f t="shared" si="2"/>
        <v>Bt-</v>
      </c>
      <c r="O49" s="176" t="str">
        <f>IF(I49="No",0,IF(I49="Sí",((INDEX(Dades_PA!$B$101:$Y$127,(MATCH(F49,Dades_PA!$A$101:$A$127,0)),(MATCH(J49,Dades_PA!$B$100:$Y$100,0))))*((Dades_PA!$B$131))*H49*1000),""))</f>
        <v/>
      </c>
      <c r="P49" s="176" t="str">
        <f>IF(I49="No",0,IF(I49="Sí",((INDEX(Dades_PA!$B$101:$Y$127,(MATCH(F49,Dades_PA!$A$101:$A$127,0)),(MATCH(J49,Dades_PA!$B$100:$Y$100,0))))*((Dades_PA!$C$131))*H49*1000),""))</f>
        <v/>
      </c>
      <c r="Q49" s="176" t="str">
        <f>IF(K49="No",0,IF(K49="Sí",((INDEX(Dades_PA!$B$101:$Y$127,(MATCH(F49,Dades_PA!$A$101:$A$127,0)),(MATCH(L49,Dades_PA!$B$100:$Y$100,0))))*((Dades_PA!$B$131))*H49*1000),""))</f>
        <v/>
      </c>
      <c r="R49" s="176" t="str">
        <f>IF(K49="No",0,IF(K49="Sí",((INDEX(Dades_PA!$B$101:$Y$127,(MATCH(F49,Dades_PA!$A$101:$A$127,0)),(MATCH(L49,Dades_PA!$B$100:$Y$100,0))))*((Dades_PA!$C$131))*H49*1000),""))</f>
        <v/>
      </c>
      <c r="S49" s="176" t="str">
        <f>IF(M49="No",0,IF(M49="Sí",((INDEX(Dades_PA!$B$101:$Y$127,(MATCH(F49,Dades_PA!$A$101:$A$127,0)),(MATCH(N49,Dades_PA!$B$100:$Y$100,0))))*((Dades_PA!$B$131))*H49*1000),""))</f>
        <v/>
      </c>
      <c r="T49" s="176" t="str">
        <f>IF(M49="No",0,IF(M49="Sí",((INDEX(Dades_PA!$B$101:$Y$127,(MATCH(F49,Dades_PA!$A$101:$A$127,0)),(MATCH(N49,Dades_PA!$B$100:$Y$100,0))))*((Dades_PA!$C$131))*H49*1000),""))</f>
        <v/>
      </c>
      <c r="U49" s="179" t="str">
        <f>IFERROR(((((O49+Q49+S49)*Dades_PA!$B$135)+((P49+R49+T49)*Dades_PA!$B$136))/1000),"")</f>
        <v/>
      </c>
    </row>
    <row r="50" spans="5:21" ht="16.5" customHeight="1" x14ac:dyDescent="0.25">
      <c r="E50" s="316"/>
      <c r="F50" s="171" t="str">
        <f>IF('2.1 Absorciones árboles'!E50=0,"",'2.1 Absorciones árboles'!E50)</f>
        <v/>
      </c>
      <c r="G50" s="178" t="str">
        <f t="shared" si="7"/>
        <v/>
      </c>
      <c r="H50" s="177" t="str">
        <f>IF('2.2 Emisiones restos corta'!I59="","",'2.2 Emisiones restos corta'!I59)</f>
        <v/>
      </c>
      <c r="I50" s="88" t="str">
        <f>IF('2.2 Emisiones restos corta'!L59="Quema","Sí",(IF('2.2 Emisiones restos corta'!L59="Descomposición","No",(IF('2.2 Emisiones restos corta'!L59="Producto","No"," ")))))</f>
        <v xml:space="preserve"> </v>
      </c>
      <c r="J50" s="88" t="str">
        <f t="shared" si="0"/>
        <v>Bb&lt;2iBf-</v>
      </c>
      <c r="K50" s="88" t="str">
        <f>IF('2.2 Emisiones restos corta'!N59="Quema","Sí",(IF('2.2 Emisiones restos corta'!N59="Descomposición","No",(IF('2.2 Emisiones restos corta'!N59="Producto","No"," ")))))</f>
        <v xml:space="preserve"> </v>
      </c>
      <c r="L50" s="88" t="str">
        <f t="shared" si="1"/>
        <v>Bb&gt;2-</v>
      </c>
      <c r="M50" s="88" t="str">
        <f>IF('2.2 Emisiones restos corta'!P59="Quema","Sí",(IF('2.2 Emisiones restos corta'!P59="Descomposición","No",(IF('2.2 Emisiones restos corta'!P59="Producto","No"," ")))))</f>
        <v xml:space="preserve"> </v>
      </c>
      <c r="N50" s="88" t="str">
        <f t="shared" si="2"/>
        <v>Bt-</v>
      </c>
      <c r="O50" s="176" t="str">
        <f>IF(I50="No",0,IF(I50="Sí",((INDEX(Dades_PA!$B$101:$Y$127,(MATCH(F50,Dades_PA!$A$101:$A$127,0)),(MATCH(J50,Dades_PA!$B$100:$Y$100,0))))*((Dades_PA!$B$131))*H50*1000),""))</f>
        <v/>
      </c>
      <c r="P50" s="176" t="str">
        <f>IF(I50="No",0,IF(I50="Sí",((INDEX(Dades_PA!$B$101:$Y$127,(MATCH(F50,Dades_PA!$A$101:$A$127,0)),(MATCH(J50,Dades_PA!$B$100:$Y$100,0))))*((Dades_PA!$C$131))*H50*1000),""))</f>
        <v/>
      </c>
      <c r="Q50" s="176" t="str">
        <f>IF(K50="No",0,IF(K50="Sí",((INDEX(Dades_PA!$B$101:$Y$127,(MATCH(F50,Dades_PA!$A$101:$A$127,0)),(MATCH(L50,Dades_PA!$B$100:$Y$100,0))))*((Dades_PA!$B$131))*H50*1000),""))</f>
        <v/>
      </c>
      <c r="R50" s="176" t="str">
        <f>IF(K50="No",0,IF(K50="Sí",((INDEX(Dades_PA!$B$101:$Y$127,(MATCH(F50,Dades_PA!$A$101:$A$127,0)),(MATCH(L50,Dades_PA!$B$100:$Y$100,0))))*((Dades_PA!$C$131))*H50*1000),""))</f>
        <v/>
      </c>
      <c r="S50" s="176" t="str">
        <f>IF(M50="No",0,IF(M50="Sí",((INDEX(Dades_PA!$B$101:$Y$127,(MATCH(F50,Dades_PA!$A$101:$A$127,0)),(MATCH(N50,Dades_PA!$B$100:$Y$100,0))))*((Dades_PA!$B$131))*H50*1000),""))</f>
        <v/>
      </c>
      <c r="T50" s="176" t="str">
        <f>IF(M50="No",0,IF(M50="Sí",((INDEX(Dades_PA!$B$101:$Y$127,(MATCH(F50,Dades_PA!$A$101:$A$127,0)),(MATCH(N50,Dades_PA!$B$100:$Y$100,0))))*((Dades_PA!$C$131))*H50*1000),""))</f>
        <v/>
      </c>
      <c r="U50" s="179" t="str">
        <f>IFERROR(((((O50+Q50+S50)*Dades_PA!$B$135)+((P50+R50+T50)*Dades_PA!$B$136))/1000),"")</f>
        <v/>
      </c>
    </row>
    <row r="51" spans="5:21" ht="16.5" customHeight="1" x14ac:dyDescent="0.25">
      <c r="E51" s="316"/>
      <c r="F51" s="171" t="str">
        <f>IF('2.1 Absorciones árboles'!E51=0,"",'2.1 Absorciones árboles'!E51)</f>
        <v/>
      </c>
      <c r="G51" s="178" t="str">
        <f t="shared" si="7"/>
        <v/>
      </c>
      <c r="H51" s="177" t="str">
        <f>IF('2.2 Emisiones restos corta'!I60="","",'2.2 Emisiones restos corta'!I60)</f>
        <v/>
      </c>
      <c r="I51" s="88" t="str">
        <f>IF('2.2 Emisiones restos corta'!L60="Quema","Sí",(IF('2.2 Emisiones restos corta'!L60="Descomposición","No",(IF('2.2 Emisiones restos corta'!L60="Producto","No"," ")))))</f>
        <v xml:space="preserve"> </v>
      </c>
      <c r="J51" s="88" t="str">
        <f t="shared" si="0"/>
        <v>Bb&lt;2iBf-</v>
      </c>
      <c r="K51" s="88" t="str">
        <f>IF('2.2 Emisiones restos corta'!N60="Quema","Sí",(IF('2.2 Emisiones restos corta'!N60="Descomposición","No",(IF('2.2 Emisiones restos corta'!N60="Producto","No"," ")))))</f>
        <v xml:space="preserve"> </v>
      </c>
      <c r="L51" s="88" t="str">
        <f t="shared" si="1"/>
        <v>Bb&gt;2-</v>
      </c>
      <c r="M51" s="88" t="str">
        <f>IF('2.2 Emisiones restos corta'!P60="Quema","Sí",(IF('2.2 Emisiones restos corta'!P60="Descomposición","No",(IF('2.2 Emisiones restos corta'!P60="Producto","No"," ")))))</f>
        <v xml:space="preserve"> </v>
      </c>
      <c r="N51" s="88" t="str">
        <f t="shared" si="2"/>
        <v>Bt-</v>
      </c>
      <c r="O51" s="176" t="str">
        <f>IF(I51="No",0,IF(I51="Sí",((INDEX(Dades_PA!$B$101:$Y$127,(MATCH(F51,Dades_PA!$A$101:$A$127,0)),(MATCH(J51,Dades_PA!$B$100:$Y$100,0))))*((Dades_PA!$B$131))*H51*1000),""))</f>
        <v/>
      </c>
      <c r="P51" s="176" t="str">
        <f>IF(I51="No",0,IF(I51="Sí",((INDEX(Dades_PA!$B$101:$Y$127,(MATCH(F51,Dades_PA!$A$101:$A$127,0)),(MATCH(J51,Dades_PA!$B$100:$Y$100,0))))*((Dades_PA!$C$131))*H51*1000),""))</f>
        <v/>
      </c>
      <c r="Q51" s="176" t="str">
        <f>IF(K51="No",0,IF(K51="Sí",((INDEX(Dades_PA!$B$101:$Y$127,(MATCH(F51,Dades_PA!$A$101:$A$127,0)),(MATCH(L51,Dades_PA!$B$100:$Y$100,0))))*((Dades_PA!$B$131))*H51*1000),""))</f>
        <v/>
      </c>
      <c r="R51" s="176" t="str">
        <f>IF(K51="No",0,IF(K51="Sí",((INDEX(Dades_PA!$B$101:$Y$127,(MATCH(F51,Dades_PA!$A$101:$A$127,0)),(MATCH(L51,Dades_PA!$B$100:$Y$100,0))))*((Dades_PA!$C$131))*H51*1000),""))</f>
        <v/>
      </c>
      <c r="S51" s="176" t="str">
        <f>IF(M51="No",0,IF(M51="Sí",((INDEX(Dades_PA!$B$101:$Y$127,(MATCH(F51,Dades_PA!$A$101:$A$127,0)),(MATCH(N51,Dades_PA!$B$100:$Y$100,0))))*((Dades_PA!$B$131))*H51*1000),""))</f>
        <v/>
      </c>
      <c r="T51" s="176" t="str">
        <f>IF(M51="No",0,IF(M51="Sí",((INDEX(Dades_PA!$B$101:$Y$127,(MATCH(F51,Dades_PA!$A$101:$A$127,0)),(MATCH(N51,Dades_PA!$B$100:$Y$100,0))))*((Dades_PA!$C$131))*H51*1000),""))</f>
        <v/>
      </c>
      <c r="U51" s="179" t="str">
        <f>IFERROR(((((O51+Q51+S51)*Dades_PA!$B$135)+((P51+R51+T51)*Dades_PA!$B$136))/1000),"")</f>
        <v/>
      </c>
    </row>
    <row r="52" spans="5:21" ht="16.5" customHeight="1" x14ac:dyDescent="0.25">
      <c r="E52" s="316"/>
      <c r="F52" s="171" t="str">
        <f>IF('2.1 Absorciones árboles'!E52=0,"",'2.1 Absorciones árboles'!E52)</f>
        <v/>
      </c>
      <c r="G52" s="178" t="str">
        <f t="shared" si="7"/>
        <v/>
      </c>
      <c r="H52" s="177" t="str">
        <f>IF('2.2 Emisiones restos corta'!I61="","",'2.2 Emisiones restos corta'!I61)</f>
        <v/>
      </c>
      <c r="I52" s="88" t="str">
        <f>IF('2.2 Emisiones restos corta'!L61="Quema","Sí",(IF('2.2 Emisiones restos corta'!L61="Descomposición","No",(IF('2.2 Emisiones restos corta'!L61="Producto","No"," ")))))</f>
        <v xml:space="preserve"> </v>
      </c>
      <c r="J52" s="88" t="str">
        <f t="shared" si="0"/>
        <v>Bb&lt;2iBf-</v>
      </c>
      <c r="K52" s="88" t="str">
        <f>IF('2.2 Emisiones restos corta'!N61="Quema","Sí",(IF('2.2 Emisiones restos corta'!N61="Descomposición","No",(IF('2.2 Emisiones restos corta'!N61="Producto","No"," ")))))</f>
        <v xml:space="preserve"> </v>
      </c>
      <c r="L52" s="88" t="str">
        <f t="shared" si="1"/>
        <v>Bb&gt;2-</v>
      </c>
      <c r="M52" s="88" t="str">
        <f>IF('2.2 Emisiones restos corta'!P61="Quema","Sí",(IF('2.2 Emisiones restos corta'!P61="Descomposición","No",(IF('2.2 Emisiones restos corta'!P61="Producto","No"," ")))))</f>
        <v xml:space="preserve"> </v>
      </c>
      <c r="N52" s="88" t="str">
        <f t="shared" si="2"/>
        <v>Bt-</v>
      </c>
      <c r="O52" s="176" t="str">
        <f>IF(I52="No",0,IF(I52="Sí",((INDEX(Dades_PA!$B$101:$Y$127,(MATCH(F52,Dades_PA!$A$101:$A$127,0)),(MATCH(J52,Dades_PA!$B$100:$Y$100,0))))*((Dades_PA!$B$131))*H52*1000),""))</f>
        <v/>
      </c>
      <c r="P52" s="176" t="str">
        <f>IF(I52="No",0,IF(I52="Sí",((INDEX(Dades_PA!$B$101:$Y$127,(MATCH(F52,Dades_PA!$A$101:$A$127,0)),(MATCH(J52,Dades_PA!$B$100:$Y$100,0))))*((Dades_PA!$C$131))*H52*1000),""))</f>
        <v/>
      </c>
      <c r="Q52" s="176" t="str">
        <f>IF(K52="No",0,IF(K52="Sí",((INDEX(Dades_PA!$B$101:$Y$127,(MATCH(F52,Dades_PA!$A$101:$A$127,0)),(MATCH(L52,Dades_PA!$B$100:$Y$100,0))))*((Dades_PA!$B$131))*H52*1000),""))</f>
        <v/>
      </c>
      <c r="R52" s="176" t="str">
        <f>IF(K52="No",0,IF(K52="Sí",((INDEX(Dades_PA!$B$101:$Y$127,(MATCH(F52,Dades_PA!$A$101:$A$127,0)),(MATCH(L52,Dades_PA!$B$100:$Y$100,0))))*((Dades_PA!$C$131))*H52*1000),""))</f>
        <v/>
      </c>
      <c r="S52" s="176" t="str">
        <f>IF(M52="No",0,IF(M52="Sí",((INDEX(Dades_PA!$B$101:$Y$127,(MATCH(F52,Dades_PA!$A$101:$A$127,0)),(MATCH(N52,Dades_PA!$B$100:$Y$100,0))))*((Dades_PA!$B$131))*H52*1000),""))</f>
        <v/>
      </c>
      <c r="T52" s="176" t="str">
        <f>IF(M52="No",0,IF(M52="Sí",((INDEX(Dades_PA!$B$101:$Y$127,(MATCH(F52,Dades_PA!$A$101:$A$127,0)),(MATCH(N52,Dades_PA!$B$100:$Y$100,0))))*((Dades_PA!$C$131))*H52*1000),""))</f>
        <v/>
      </c>
      <c r="U52" s="179" t="str">
        <f>IFERROR(((((O52+Q52+S52)*Dades_PA!$B$135)+((P52+R52+T52)*Dades_PA!$B$136))/1000),"")</f>
        <v/>
      </c>
    </row>
    <row r="53" spans="5:21" ht="16.5" customHeight="1" x14ac:dyDescent="0.25">
      <c r="E53" s="316"/>
      <c r="F53" s="171" t="str">
        <f>IF('2.1 Absorciones árboles'!E53=0,"",'2.1 Absorciones árboles'!E53)</f>
        <v/>
      </c>
      <c r="G53" s="178" t="str">
        <f t="shared" si="7"/>
        <v/>
      </c>
      <c r="H53" s="177" t="str">
        <f>IF('2.2 Emisiones restos corta'!I62="","",'2.2 Emisiones restos corta'!I62)</f>
        <v/>
      </c>
      <c r="I53" s="88" t="str">
        <f>IF('2.2 Emisiones restos corta'!L62="Quema","Sí",(IF('2.2 Emisiones restos corta'!L62="Descomposición","No",(IF('2.2 Emisiones restos corta'!L62="Producto","No"," ")))))</f>
        <v xml:space="preserve"> </v>
      </c>
      <c r="J53" s="88" t="str">
        <f t="shared" si="0"/>
        <v>Bb&lt;2iBf-</v>
      </c>
      <c r="K53" s="88" t="str">
        <f>IF('2.2 Emisiones restos corta'!N62="Quema","Sí",(IF('2.2 Emisiones restos corta'!N62="Descomposición","No",(IF('2.2 Emisiones restos corta'!N62="Producto","No"," ")))))</f>
        <v xml:space="preserve"> </v>
      </c>
      <c r="L53" s="88" t="str">
        <f t="shared" si="1"/>
        <v>Bb&gt;2-</v>
      </c>
      <c r="M53" s="88" t="str">
        <f>IF('2.2 Emisiones restos corta'!P62="Quema","Sí",(IF('2.2 Emisiones restos corta'!P62="Descomposición","No",(IF('2.2 Emisiones restos corta'!P62="Producto","No"," ")))))</f>
        <v xml:space="preserve"> </v>
      </c>
      <c r="N53" s="88" t="str">
        <f t="shared" si="2"/>
        <v>Bt-</v>
      </c>
      <c r="O53" s="176" t="str">
        <f>IF(I53="No",0,IF(I53="Sí",((INDEX(Dades_PA!$B$101:$Y$127,(MATCH(F53,Dades_PA!$A$101:$A$127,0)),(MATCH(J53,Dades_PA!$B$100:$Y$100,0))))*((Dades_PA!$B$131))*H53*1000),""))</f>
        <v/>
      </c>
      <c r="P53" s="176" t="str">
        <f>IF(I53="No",0,IF(I53="Sí",((INDEX(Dades_PA!$B$101:$Y$127,(MATCH(F53,Dades_PA!$A$101:$A$127,0)),(MATCH(J53,Dades_PA!$B$100:$Y$100,0))))*((Dades_PA!$C$131))*H53*1000),""))</f>
        <v/>
      </c>
      <c r="Q53" s="176" t="str">
        <f>IF(K53="No",0,IF(K53="Sí",((INDEX(Dades_PA!$B$101:$Y$127,(MATCH(F53,Dades_PA!$A$101:$A$127,0)),(MATCH(L53,Dades_PA!$B$100:$Y$100,0))))*((Dades_PA!$B$131))*H53*1000),""))</f>
        <v/>
      </c>
      <c r="R53" s="176" t="str">
        <f>IF(K53="No",0,IF(K53="Sí",((INDEX(Dades_PA!$B$101:$Y$127,(MATCH(F53,Dades_PA!$A$101:$A$127,0)),(MATCH(L53,Dades_PA!$B$100:$Y$100,0))))*((Dades_PA!$C$131))*H53*1000),""))</f>
        <v/>
      </c>
      <c r="S53" s="176" t="str">
        <f>IF(M53="No",0,IF(M53="Sí",((INDEX(Dades_PA!$B$101:$Y$127,(MATCH(F53,Dades_PA!$A$101:$A$127,0)),(MATCH(N53,Dades_PA!$B$100:$Y$100,0))))*((Dades_PA!$B$131))*H53*1000),""))</f>
        <v/>
      </c>
      <c r="T53" s="176" t="str">
        <f>IF(M53="No",0,IF(M53="Sí",((INDEX(Dades_PA!$B$101:$Y$127,(MATCH(F53,Dades_PA!$A$101:$A$127,0)),(MATCH(N53,Dades_PA!$B$100:$Y$100,0))))*((Dades_PA!$C$131))*H53*1000),""))</f>
        <v/>
      </c>
      <c r="U53" s="179" t="str">
        <f>IFERROR(((((O53+Q53+S53)*Dades_PA!$B$135)+((P53+R53+T53)*Dades_PA!$B$136))/1000),"")</f>
        <v/>
      </c>
    </row>
    <row r="54" spans="5:21" ht="16.5" customHeight="1" x14ac:dyDescent="0.25">
      <c r="E54" s="316"/>
      <c r="F54" s="171" t="str">
        <f>IF('2.1 Absorciones árboles'!E54=0,"",'2.1 Absorciones árboles'!E54)</f>
        <v/>
      </c>
      <c r="G54" s="178" t="str">
        <f t="shared" si="7"/>
        <v/>
      </c>
      <c r="H54" s="177" t="str">
        <f>IF('2.2 Emisiones restos corta'!I63="","",'2.2 Emisiones restos corta'!I63)</f>
        <v/>
      </c>
      <c r="I54" s="88" t="str">
        <f>IF('2.2 Emisiones restos corta'!L63="Quema","Sí",(IF('2.2 Emisiones restos corta'!L63="Descomposición","No",(IF('2.2 Emisiones restos corta'!L63="Producto","No"," ")))))</f>
        <v xml:space="preserve"> </v>
      </c>
      <c r="J54" s="88" t="str">
        <f t="shared" si="0"/>
        <v>Bb&lt;2iBf-</v>
      </c>
      <c r="K54" s="88" t="str">
        <f>IF('2.2 Emisiones restos corta'!N63="Quema","Sí",(IF('2.2 Emisiones restos corta'!N63="Descomposición","No",(IF('2.2 Emisiones restos corta'!N63="Producto","No"," ")))))</f>
        <v xml:space="preserve"> </v>
      </c>
      <c r="L54" s="88" t="str">
        <f t="shared" si="1"/>
        <v>Bb&gt;2-</v>
      </c>
      <c r="M54" s="88" t="str">
        <f>IF('2.2 Emisiones restos corta'!P63="Quema","Sí",(IF('2.2 Emisiones restos corta'!P63="Descomposición","No",(IF('2.2 Emisiones restos corta'!P63="Producto","No"," ")))))</f>
        <v xml:space="preserve"> </v>
      </c>
      <c r="N54" s="88" t="str">
        <f t="shared" si="2"/>
        <v>Bt-</v>
      </c>
      <c r="O54" s="176" t="str">
        <f>IF(I54="No",0,IF(I54="Sí",((INDEX(Dades_PA!$B$101:$Y$127,(MATCH(F54,Dades_PA!$A$101:$A$127,0)),(MATCH(J54,Dades_PA!$B$100:$Y$100,0))))*((Dades_PA!$B$131))*H54*1000),""))</f>
        <v/>
      </c>
      <c r="P54" s="176" t="str">
        <f>IF(I54="No",0,IF(I54="Sí",((INDEX(Dades_PA!$B$101:$Y$127,(MATCH(F54,Dades_PA!$A$101:$A$127,0)),(MATCH(J54,Dades_PA!$B$100:$Y$100,0))))*((Dades_PA!$C$131))*H54*1000),""))</f>
        <v/>
      </c>
      <c r="Q54" s="176" t="str">
        <f>IF(K54="No",0,IF(K54="Sí",((INDEX(Dades_PA!$B$101:$Y$127,(MATCH(F54,Dades_PA!$A$101:$A$127,0)),(MATCH(L54,Dades_PA!$B$100:$Y$100,0))))*((Dades_PA!$B$131))*H54*1000),""))</f>
        <v/>
      </c>
      <c r="R54" s="176" t="str">
        <f>IF(K54="No",0,IF(K54="Sí",((INDEX(Dades_PA!$B$101:$Y$127,(MATCH(F54,Dades_PA!$A$101:$A$127,0)),(MATCH(L54,Dades_PA!$B$100:$Y$100,0))))*((Dades_PA!$C$131))*H54*1000),""))</f>
        <v/>
      </c>
      <c r="S54" s="176" t="str">
        <f>IF(M54="No",0,IF(M54="Sí",((INDEX(Dades_PA!$B$101:$Y$127,(MATCH(F54,Dades_PA!$A$101:$A$127,0)),(MATCH(N54,Dades_PA!$B$100:$Y$100,0))))*((Dades_PA!$B$131))*H54*1000),""))</f>
        <v/>
      </c>
      <c r="T54" s="176" t="str">
        <f>IF(M54="No",0,IF(M54="Sí",((INDEX(Dades_PA!$B$101:$Y$127,(MATCH(F54,Dades_PA!$A$101:$A$127,0)),(MATCH(N54,Dades_PA!$B$100:$Y$100,0))))*((Dades_PA!$C$131))*H54*1000),""))</f>
        <v/>
      </c>
      <c r="U54" s="179" t="str">
        <f>IFERROR(((((O54+Q54+S54)*Dades_PA!$B$135)+((P54+R54+T54)*Dades_PA!$B$136))/1000),"")</f>
        <v/>
      </c>
    </row>
    <row r="55" spans="5:21" ht="16.5" customHeight="1" x14ac:dyDescent="0.25">
      <c r="E55" s="316"/>
      <c r="F55" s="171" t="str">
        <f>IF('2.1 Absorciones árboles'!E55=0,"",'2.1 Absorciones árboles'!E55)</f>
        <v/>
      </c>
      <c r="G55" s="178" t="str">
        <f t="shared" si="7"/>
        <v/>
      </c>
      <c r="H55" s="177" t="str">
        <f>IF('2.2 Emisiones restos corta'!I64="","",'2.2 Emisiones restos corta'!I64)</f>
        <v/>
      </c>
      <c r="I55" s="88" t="str">
        <f>IF('2.2 Emisiones restos corta'!L64="Quema","Sí",(IF('2.2 Emisiones restos corta'!L64="Descomposición","No",(IF('2.2 Emisiones restos corta'!L64="Producto","No"," ")))))</f>
        <v xml:space="preserve"> </v>
      </c>
      <c r="J55" s="88" t="str">
        <f t="shared" si="0"/>
        <v>Bb&lt;2iBf-</v>
      </c>
      <c r="K55" s="88" t="str">
        <f>IF('2.2 Emisiones restos corta'!N64="Quema","Sí",(IF('2.2 Emisiones restos corta'!N64="Descomposición","No",(IF('2.2 Emisiones restos corta'!N64="Producto","No"," ")))))</f>
        <v xml:space="preserve"> </v>
      </c>
      <c r="L55" s="88" t="str">
        <f t="shared" si="1"/>
        <v>Bb&gt;2-</v>
      </c>
      <c r="M55" s="88" t="str">
        <f>IF('2.2 Emisiones restos corta'!P64="Quema","Sí",(IF('2.2 Emisiones restos corta'!P64="Descomposición","No",(IF('2.2 Emisiones restos corta'!P64="Producto","No"," ")))))</f>
        <v xml:space="preserve"> </v>
      </c>
      <c r="N55" s="88" t="str">
        <f t="shared" si="2"/>
        <v>Bt-</v>
      </c>
      <c r="O55" s="176" t="str">
        <f>IF(I55="No",0,IF(I55="Sí",((INDEX(Dades_PA!$B$101:$Y$127,(MATCH(F55,Dades_PA!$A$101:$A$127,0)),(MATCH(J55,Dades_PA!$B$100:$Y$100,0))))*((Dades_PA!$B$131))*H55*1000),""))</f>
        <v/>
      </c>
      <c r="P55" s="176" t="str">
        <f>IF(I55="No",0,IF(I55="Sí",((INDEX(Dades_PA!$B$101:$Y$127,(MATCH(F55,Dades_PA!$A$101:$A$127,0)),(MATCH(J55,Dades_PA!$B$100:$Y$100,0))))*((Dades_PA!$C$131))*H55*1000),""))</f>
        <v/>
      </c>
      <c r="Q55" s="176" t="str">
        <f>IF(K55="No",0,IF(K55="Sí",((INDEX(Dades_PA!$B$101:$Y$127,(MATCH(F55,Dades_PA!$A$101:$A$127,0)),(MATCH(L55,Dades_PA!$B$100:$Y$100,0))))*((Dades_PA!$B$131))*H55*1000),""))</f>
        <v/>
      </c>
      <c r="R55" s="176" t="str">
        <f>IF(K55="No",0,IF(K55="Sí",((INDEX(Dades_PA!$B$101:$Y$127,(MATCH(F55,Dades_PA!$A$101:$A$127,0)),(MATCH(L55,Dades_PA!$B$100:$Y$100,0))))*((Dades_PA!$C$131))*H55*1000),""))</f>
        <v/>
      </c>
      <c r="S55" s="176" t="str">
        <f>IF(M55="No",0,IF(M55="Sí",((INDEX(Dades_PA!$B$101:$Y$127,(MATCH(F55,Dades_PA!$A$101:$A$127,0)),(MATCH(N55,Dades_PA!$B$100:$Y$100,0))))*((Dades_PA!$B$131))*H55*1000),""))</f>
        <v/>
      </c>
      <c r="T55" s="176" t="str">
        <f>IF(M55="No",0,IF(M55="Sí",((INDEX(Dades_PA!$B$101:$Y$127,(MATCH(F55,Dades_PA!$A$101:$A$127,0)),(MATCH(N55,Dades_PA!$B$100:$Y$100,0))))*((Dades_PA!$C$131))*H55*1000),""))</f>
        <v/>
      </c>
      <c r="U55" s="179" t="str">
        <f>IFERROR(((((O55+Q55+S55)*Dades_PA!$B$135)+((P55+R55+T55)*Dades_PA!$B$136))/1000),"")</f>
        <v/>
      </c>
    </row>
    <row r="56" spans="5:21" ht="16.5" customHeight="1" thickBot="1" x14ac:dyDescent="0.3">
      <c r="E56" s="317"/>
      <c r="F56" s="172" t="str">
        <f>IF('2.1 Absorciones árboles'!E56=0,"",'2.1 Absorciones árboles'!E56)</f>
        <v/>
      </c>
      <c r="G56" s="188" t="str">
        <f t="shared" si="7"/>
        <v/>
      </c>
      <c r="H56" s="189" t="str">
        <f>IF('2.2 Emisiones restos corta'!I65="","",'2.2 Emisiones restos corta'!I65)</f>
        <v/>
      </c>
      <c r="I56" s="92" t="str">
        <f>IF('2.2 Emisiones restos corta'!L65="Quema","Sí",(IF('2.2 Emisiones restos corta'!L65="Descomposición","No",(IF('2.2 Emisiones restos corta'!L65="Producto","No"," ")))))</f>
        <v xml:space="preserve"> </v>
      </c>
      <c r="J56" s="92" t="str">
        <f t="shared" si="0"/>
        <v>Bb&lt;2iBf-</v>
      </c>
      <c r="K56" s="92" t="str">
        <f>IF('2.2 Emisiones restos corta'!N65="Quema","Sí",(IF('2.2 Emisiones restos corta'!N65="Descomposición","No",(IF('2.2 Emisiones restos corta'!N65="Producto","No"," ")))))</f>
        <v xml:space="preserve"> </v>
      </c>
      <c r="L56" s="92" t="str">
        <f t="shared" si="1"/>
        <v>Bb&gt;2-</v>
      </c>
      <c r="M56" s="92" t="str">
        <f>IF('2.2 Emisiones restos corta'!P65="Quema","Sí",(IF('2.2 Emisiones restos corta'!P65="Descomposición","No",(IF('2.2 Emisiones restos corta'!P65="Producto","No"," ")))))</f>
        <v xml:space="preserve"> </v>
      </c>
      <c r="N56" s="92" t="str">
        <f t="shared" si="2"/>
        <v>Bt-</v>
      </c>
      <c r="O56" s="190" t="str">
        <f>IF(I56="No",0,IF(I56="Sí",((INDEX(Dades_PA!$B$101:$Y$127,(MATCH(F56,Dades_PA!$A$101:$A$127,0)),(MATCH(J56,Dades_PA!$B$100:$Y$100,0))))*((Dades_PA!$B$131))*H56*1000),""))</f>
        <v/>
      </c>
      <c r="P56" s="190" t="str">
        <f>IF(I56="No",0,IF(I56="Sí",((INDEX(Dades_PA!$B$101:$Y$127,(MATCH(F56,Dades_PA!$A$101:$A$127,0)),(MATCH(J56,Dades_PA!$B$100:$Y$100,0))))*((Dades_PA!$C$131))*H56*1000),""))</f>
        <v/>
      </c>
      <c r="Q56" s="190" t="str">
        <f>IF(K56="No",0,IF(K56="Sí",((INDEX(Dades_PA!$B$101:$Y$127,(MATCH(F56,Dades_PA!$A$101:$A$127,0)),(MATCH(L56,Dades_PA!$B$100:$Y$100,0))))*((Dades_PA!$B$131))*H56*1000),""))</f>
        <v/>
      </c>
      <c r="R56" s="190" t="str">
        <f>IF(K56="No",0,IF(K56="Sí",((INDEX(Dades_PA!$B$101:$Y$127,(MATCH(F56,Dades_PA!$A$101:$A$127,0)),(MATCH(L56,Dades_PA!$B$100:$Y$100,0))))*((Dades_PA!$C$131))*H56*1000),""))</f>
        <v/>
      </c>
      <c r="S56" s="190" t="str">
        <f>IF(M56="No",0,IF(M56="Sí",((INDEX(Dades_PA!$B$101:$Y$127,(MATCH(F56,Dades_PA!$A$101:$A$127,0)),(MATCH(N56,Dades_PA!$B$100:$Y$100,0))))*((Dades_PA!$B$131))*H56*1000),""))</f>
        <v/>
      </c>
      <c r="T56" s="190" t="str">
        <f>IF(M56="No",0,IF(M56="Sí",((INDEX(Dades_PA!$B$101:$Y$127,(MATCH(F56,Dades_PA!$A$101:$A$127,0)),(MATCH(N56,Dades_PA!$B$100:$Y$100,0))))*((Dades_PA!$C$131))*H56*1000),""))</f>
        <v/>
      </c>
      <c r="U56" s="191" t="str">
        <f>IFERROR(((((O56+Q56+S56)*Dades_PA!$B$135)+((P56+R56+T56)*Dades_PA!$B$136))/1000),"")</f>
        <v/>
      </c>
    </row>
    <row r="57" spans="5:21" ht="16.5" customHeight="1" thickBot="1" x14ac:dyDescent="0.35">
      <c r="E57" s="379" t="s">
        <v>7</v>
      </c>
      <c r="F57" s="373" t="s">
        <v>6</v>
      </c>
      <c r="G57" s="373" t="s">
        <v>6</v>
      </c>
      <c r="H57" s="380">
        <f>SUM(H7:H56)</f>
        <v>0</v>
      </c>
      <c r="I57" s="373" t="s">
        <v>6</v>
      </c>
      <c r="J57" s="373"/>
      <c r="K57" s="373" t="s">
        <v>6</v>
      </c>
      <c r="L57" s="373"/>
      <c r="M57" s="373" t="s">
        <v>6</v>
      </c>
      <c r="N57" s="373"/>
      <c r="O57" s="381">
        <f>SUM(O7:O56)</f>
        <v>0</v>
      </c>
      <c r="P57" s="381">
        <f t="shared" ref="P57:T57" si="8">SUM(P7:P56)</f>
        <v>0</v>
      </c>
      <c r="Q57" s="381">
        <f t="shared" si="8"/>
        <v>0</v>
      </c>
      <c r="R57" s="381">
        <f t="shared" si="8"/>
        <v>0</v>
      </c>
      <c r="S57" s="381">
        <f t="shared" si="8"/>
        <v>0</v>
      </c>
      <c r="T57" s="381">
        <f t="shared" si="8"/>
        <v>0</v>
      </c>
      <c r="U57" s="382">
        <f>SUM(U7:U56)</f>
        <v>0</v>
      </c>
    </row>
    <row r="58" spans="5:21" ht="16.5" customHeight="1" x14ac:dyDescent="0.25"/>
    <row r="59" spans="5:21" ht="16.5" customHeight="1" x14ac:dyDescent="0.25">
      <c r="E59" s="332" t="s">
        <v>148</v>
      </c>
      <c r="F59" s="333"/>
      <c r="G59" s="333"/>
      <c r="H59" s="333"/>
      <c r="I59" s="333"/>
      <c r="J59" s="333"/>
      <c r="K59" s="333"/>
      <c r="L59" s="333"/>
      <c r="M59" s="333"/>
      <c r="N59" s="333"/>
      <c r="O59" s="333"/>
      <c r="P59" s="333"/>
      <c r="Q59" s="333"/>
      <c r="R59" s="333"/>
      <c r="S59" s="333"/>
      <c r="T59" s="333"/>
      <c r="U59" s="334"/>
    </row>
    <row r="60" spans="5:21" x14ac:dyDescent="0.25">
      <c r="E60" s="335"/>
      <c r="F60" s="336"/>
      <c r="G60" s="336"/>
      <c r="H60" s="336"/>
      <c r="I60" s="336"/>
      <c r="J60" s="336"/>
      <c r="K60" s="336"/>
      <c r="L60" s="336"/>
      <c r="M60" s="336"/>
      <c r="N60" s="336"/>
      <c r="O60" s="336"/>
      <c r="P60" s="336"/>
      <c r="Q60" s="336"/>
      <c r="R60" s="336"/>
      <c r="S60" s="336"/>
      <c r="T60" s="336"/>
      <c r="U60" s="337"/>
    </row>
    <row r="61" spans="5:21" x14ac:dyDescent="0.25">
      <c r="E61" s="338"/>
      <c r="F61" s="339"/>
      <c r="G61" s="339"/>
      <c r="H61" s="339"/>
      <c r="I61" s="339"/>
      <c r="J61" s="339"/>
      <c r="K61" s="339"/>
      <c r="L61" s="339"/>
      <c r="M61" s="339"/>
      <c r="N61" s="339"/>
      <c r="O61" s="339"/>
      <c r="P61" s="339"/>
      <c r="Q61" s="339"/>
      <c r="R61" s="339"/>
      <c r="S61" s="339"/>
      <c r="T61" s="339"/>
      <c r="U61" s="340"/>
    </row>
    <row r="106" ht="15" customHeight="1" x14ac:dyDescent="0.25"/>
  </sheetData>
  <sheetProtection sheet="1" objects="1" scenarios="1"/>
  <mergeCells count="25">
    <mergeCell ref="E59:U61"/>
    <mergeCell ref="S5:S6"/>
    <mergeCell ref="U5:U6"/>
    <mergeCell ref="R5:R6"/>
    <mergeCell ref="T5:T6"/>
    <mergeCell ref="E27:E36"/>
    <mergeCell ref="E37:E46"/>
    <mergeCell ref="E47:E56"/>
    <mergeCell ref="E7:E16"/>
    <mergeCell ref="E17:E26"/>
    <mergeCell ref="C1:V1"/>
    <mergeCell ref="E3:V3"/>
    <mergeCell ref="E5:E6"/>
    <mergeCell ref="F5:F6"/>
    <mergeCell ref="G5:G6"/>
    <mergeCell ref="H5:H6"/>
    <mergeCell ref="I5:I6"/>
    <mergeCell ref="J5:J6"/>
    <mergeCell ref="K5:K6"/>
    <mergeCell ref="L5:L6"/>
    <mergeCell ref="P5:P6"/>
    <mergeCell ref="M5:M6"/>
    <mergeCell ref="N5:N6"/>
    <mergeCell ref="O5:O6"/>
    <mergeCell ref="Q5:Q6"/>
  </mergeCells>
  <dataValidations count="1">
    <dataValidation allowBlank="1" showInputMessage="1" showErrorMessage="1" error="Any incorrecte" sqref="G7:G56" xr:uid="{00000000-0002-0000-0500-000000000000}"/>
  </dataValidations>
  <hyperlinks>
    <hyperlink ref="A5" location="'2.1 Absorciones árboles'!A1" display="2.1. Cápsula 1.1: Absorciones de los árboles" xr:uid="{00000000-0004-0000-0500-000000000000}"/>
    <hyperlink ref="A7" location="'2.3 Emisiones maquinaria'!A1" display="2.3. Cápsula 2.2: Emisiones de vehículos y maquinaria" xr:uid="{00000000-0004-0000-0500-000001000000}"/>
    <hyperlink ref="A8" location="'2.4 Emisiones quema restos'!A1" display="2.4. Capsula 2.3: Emisiones de CH4 y N2O por quema" xr:uid="{00000000-0004-0000-0500-000002000000}"/>
    <hyperlink ref="A9" location="'2.5 Emisiones productos'!A1" display="2.5. Cápsula 2.4: Emisiones de los productos madereros" xr:uid="{00000000-0004-0000-0500-000003000000}"/>
    <hyperlink ref="A10" location="'3. Resultados'!A1" display="3. Resultats d'absorcions del projecte" xr:uid="{00000000-0004-0000-0500-000004000000}"/>
    <hyperlink ref="A6" location="'2.2 Emisiones restos corta'!A1" display="2.2. Cápsula 2.1: Emisiones de CO2 por descomposición y quema" xr:uid="{00000000-0004-0000-0500-000005000000}"/>
    <hyperlink ref="A4" location="'1. Datos generales del proyecto'!A1" display="1. Datos del proyecto" xr:uid="{00000000-0004-0000-0500-000006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G110"/>
  <sheetViews>
    <sheetView zoomScale="90" zoomScaleNormal="90" workbookViewId="0">
      <pane xSplit="1" topLeftCell="C1" activePane="topRight" state="frozen"/>
      <selection activeCell="C1" sqref="C1:M1"/>
      <selection pane="topRight" activeCell="I11" sqref="I11"/>
    </sheetView>
  </sheetViews>
  <sheetFormatPr baseColWidth="10" defaultColWidth="9.140625" defaultRowHeight="15" x14ac:dyDescent="0.25"/>
  <cols>
    <col min="1" max="1" width="55.7109375" style="8" customWidth="1"/>
    <col min="2" max="2" width="1.7109375" style="2" customWidth="1"/>
    <col min="3" max="3" width="1" style="2" customWidth="1"/>
    <col min="4" max="4" width="1.42578125" style="6" customWidth="1"/>
    <col min="5" max="5" width="21.85546875" style="6" customWidth="1"/>
    <col min="6" max="6" width="38.7109375" style="6" customWidth="1"/>
    <col min="7" max="7" width="15.28515625" style="6" hidden="1" customWidth="1"/>
    <col min="8" max="8" width="19.28515625" style="6" bestFit="1" customWidth="1"/>
    <col min="9" max="9" width="20.7109375" style="6" customWidth="1"/>
    <col min="10" max="10" width="20.7109375" style="6" hidden="1" customWidth="1"/>
    <col min="11" max="11" width="20.7109375" style="6" customWidth="1"/>
    <col min="12" max="12" width="20.7109375" style="6" hidden="1" customWidth="1"/>
    <col min="13" max="13" width="21.5703125" style="6" customWidth="1"/>
    <col min="14" max="14" width="20.7109375" style="6" hidden="1" customWidth="1"/>
    <col min="15" max="17" width="24.7109375" style="6" customWidth="1"/>
    <col min="18" max="18" width="18.42578125" style="6" customWidth="1"/>
    <col min="19" max="19" width="4.5703125" style="6" customWidth="1"/>
    <col min="20" max="1021" width="9.140625" style="6"/>
  </cols>
  <sheetData>
    <row r="1" spans="1:19" ht="40.700000000000003" customHeight="1" x14ac:dyDescent="0.25">
      <c r="B1" s="3"/>
      <c r="C1" s="343" t="s">
        <v>159</v>
      </c>
      <c r="D1" s="343"/>
      <c r="E1" s="343"/>
      <c r="F1" s="343"/>
      <c r="G1" s="343"/>
      <c r="H1" s="343"/>
      <c r="I1" s="343"/>
      <c r="J1" s="343"/>
      <c r="K1" s="343"/>
      <c r="L1" s="343"/>
      <c r="M1" s="343"/>
      <c r="N1" s="343"/>
      <c r="O1" s="343"/>
      <c r="P1" s="343"/>
      <c r="Q1" s="343"/>
      <c r="R1" s="343"/>
      <c r="S1" s="343"/>
    </row>
    <row r="2" spans="1:19" ht="40.700000000000003" customHeight="1" x14ac:dyDescent="0.25">
      <c r="B2" s="3"/>
    </row>
    <row r="3" spans="1:19" ht="16.5" customHeight="1" x14ac:dyDescent="0.25">
      <c r="A3" s="5"/>
      <c r="B3" s="4"/>
      <c r="E3" s="341" t="s">
        <v>149</v>
      </c>
      <c r="F3" s="344"/>
      <c r="G3" s="344"/>
      <c r="H3" s="344"/>
      <c r="I3" s="344"/>
      <c r="J3" s="344"/>
      <c r="K3" s="344"/>
      <c r="L3" s="344"/>
      <c r="M3" s="344"/>
      <c r="N3" s="344"/>
      <c r="O3" s="344"/>
      <c r="P3" s="344"/>
      <c r="Q3" s="344"/>
      <c r="R3" s="344"/>
      <c r="S3" s="78"/>
    </row>
    <row r="4" spans="1:19" ht="14.25" customHeight="1" x14ac:dyDescent="0.3">
      <c r="A4" s="144" t="s">
        <v>85</v>
      </c>
      <c r="B4" s="4"/>
      <c r="E4" s="344"/>
      <c r="F4" s="344"/>
      <c r="G4" s="344"/>
      <c r="H4" s="344"/>
      <c r="I4" s="344"/>
      <c r="J4" s="344"/>
      <c r="K4" s="344"/>
      <c r="L4" s="344"/>
      <c r="M4" s="344"/>
      <c r="N4" s="344"/>
      <c r="O4" s="344"/>
      <c r="P4" s="344"/>
      <c r="Q4" s="344"/>
      <c r="R4" s="344"/>
      <c r="S4" s="78"/>
    </row>
    <row r="5" spans="1:19" ht="16.5" customHeight="1" x14ac:dyDescent="0.3">
      <c r="A5" s="144" t="s">
        <v>86</v>
      </c>
      <c r="B5" s="4"/>
      <c r="E5" s="344"/>
      <c r="F5" s="344"/>
      <c r="G5" s="344"/>
      <c r="H5" s="344"/>
      <c r="I5" s="344"/>
      <c r="J5" s="344"/>
      <c r="K5" s="344"/>
      <c r="L5" s="344"/>
      <c r="M5" s="344"/>
      <c r="N5" s="344"/>
      <c r="O5" s="344"/>
      <c r="P5" s="344"/>
      <c r="Q5" s="344"/>
      <c r="R5" s="344"/>
      <c r="S5" s="78"/>
    </row>
    <row r="6" spans="1:19" ht="16.5" customHeight="1" x14ac:dyDescent="0.3">
      <c r="A6" s="144" t="s">
        <v>114</v>
      </c>
      <c r="B6" s="4"/>
      <c r="C6" s="11"/>
      <c r="D6" s="2"/>
      <c r="E6" s="344"/>
      <c r="F6" s="344"/>
      <c r="G6" s="344"/>
      <c r="H6" s="344"/>
      <c r="I6" s="344"/>
      <c r="J6" s="344"/>
      <c r="K6" s="344"/>
      <c r="L6" s="344"/>
      <c r="M6" s="344"/>
      <c r="N6" s="344"/>
      <c r="O6" s="344"/>
      <c r="P6" s="344"/>
      <c r="Q6" s="344"/>
      <c r="R6" s="344"/>
      <c r="S6" s="78"/>
    </row>
    <row r="7" spans="1:19" ht="16.5" customHeight="1" x14ac:dyDescent="0.3">
      <c r="A7" s="144" t="s">
        <v>87</v>
      </c>
      <c r="B7" s="4"/>
      <c r="E7" s="344"/>
      <c r="F7" s="344"/>
      <c r="G7" s="344"/>
      <c r="H7" s="344"/>
      <c r="I7" s="344"/>
      <c r="J7" s="344"/>
      <c r="K7" s="344"/>
      <c r="L7" s="344"/>
      <c r="M7" s="344"/>
      <c r="N7" s="344"/>
      <c r="O7" s="344"/>
      <c r="P7" s="344"/>
      <c r="Q7" s="344"/>
      <c r="R7" s="344"/>
      <c r="S7" s="78"/>
    </row>
    <row r="8" spans="1:19" ht="16.5" customHeight="1" thickBot="1" x14ac:dyDescent="0.35">
      <c r="A8" s="144" t="s">
        <v>158</v>
      </c>
      <c r="E8" s="344"/>
      <c r="F8" s="344"/>
      <c r="G8" s="344"/>
      <c r="H8" s="344"/>
      <c r="I8" s="344"/>
      <c r="J8" s="344"/>
      <c r="K8" s="344"/>
      <c r="L8" s="344"/>
      <c r="M8" s="344"/>
      <c r="N8" s="344"/>
      <c r="O8" s="344"/>
      <c r="P8" s="344"/>
      <c r="Q8" s="344"/>
      <c r="R8" s="344"/>
      <c r="S8" s="78"/>
    </row>
    <row r="9" spans="1:19" ht="21.75" customHeight="1" x14ac:dyDescent="0.3">
      <c r="A9" s="144" t="s">
        <v>88</v>
      </c>
      <c r="E9" s="315" t="s">
        <v>67</v>
      </c>
      <c r="F9" s="312" t="s">
        <v>115</v>
      </c>
      <c r="G9" s="330" t="s">
        <v>272</v>
      </c>
      <c r="H9" s="312" t="s">
        <v>150</v>
      </c>
      <c r="I9" s="312" t="s">
        <v>151</v>
      </c>
      <c r="J9" s="330" t="s">
        <v>53</v>
      </c>
      <c r="K9" s="312" t="s">
        <v>152</v>
      </c>
      <c r="L9" s="330" t="s">
        <v>54</v>
      </c>
      <c r="M9" s="312" t="s">
        <v>153</v>
      </c>
      <c r="N9" s="330" t="s">
        <v>55</v>
      </c>
      <c r="O9" s="312" t="s">
        <v>154</v>
      </c>
      <c r="P9" s="312" t="s">
        <v>155</v>
      </c>
      <c r="Q9" s="312" t="s">
        <v>156</v>
      </c>
      <c r="R9" s="319" t="s">
        <v>157</v>
      </c>
    </row>
    <row r="10" spans="1:19" s="51" customFormat="1" ht="16.5" customHeight="1" thickBot="1" x14ac:dyDescent="0.35">
      <c r="A10" s="144" t="s">
        <v>89</v>
      </c>
      <c r="B10" s="2"/>
      <c r="C10" s="2"/>
      <c r="D10" s="6"/>
      <c r="E10" s="320"/>
      <c r="F10" s="313"/>
      <c r="G10" s="388"/>
      <c r="H10" s="313"/>
      <c r="I10" s="313"/>
      <c r="J10" s="388"/>
      <c r="K10" s="313"/>
      <c r="L10" s="388"/>
      <c r="M10" s="313"/>
      <c r="N10" s="388"/>
      <c r="O10" s="313"/>
      <c r="P10" s="313"/>
      <c r="Q10" s="313"/>
      <c r="R10" s="342"/>
    </row>
    <row r="11" spans="1:19" ht="16.5" customHeight="1" x14ac:dyDescent="0.25">
      <c r="E11" s="315" t="str">
        <f>IF(('1. Datos generales del proyecto'!D31)="","",('1. Datos generales del proyecto'!D31))</f>
        <v/>
      </c>
      <c r="F11" s="170" t="str">
        <f>IF('2.1 Absorciones árboles'!E7=0,"",'2.1 Absorciones árboles'!E7)</f>
        <v/>
      </c>
      <c r="G11" s="185" t="str">
        <f>IF(('2.1 Absorciones árboles'!H7&gt;0),('2.1 Absorciones árboles'!H7),"")</f>
        <v/>
      </c>
      <c r="H11" s="186" t="str">
        <f>IF('2.2 Emisiones restos corta'!I16="","",'2.2 Emisiones restos corta'!I16)</f>
        <v/>
      </c>
      <c r="I11" s="80"/>
      <c r="J11" s="93"/>
      <c r="K11" s="80"/>
      <c r="L11" s="93"/>
      <c r="M11" s="80"/>
      <c r="N11" s="84" t="str">
        <f>CONCATENATE("Bt-",G11)</f>
        <v>Bt-</v>
      </c>
      <c r="O11" s="170" t="str">
        <f>IF(I11="Vida útil corta (&lt;2 años)",((INDEX(Dades_PA!$B$45:$Y$71,(MATCH(F11,Espècies,0)),(MATCH(J11,Dades_PA!$B$44:$Y$44,0))))*H11*(Dades_PA!$B$142/100)),IF(I11="Vida útil media (&lt;10 años)",((INDEX(Dades_PA!$B$45:$Y$71,(MATCH(F11,Espècies,0)),(MATCH(J11,Dades_PA!$B$44:$Y$44,0))))*H11*(Dades_PA!$B$143/100)),IF(I11="Vida útil larga (&gt;30 años)",Dades_PA!$B$144,IF(I11="No se obtiene producto",Dades_PA!$B$145,""))))</f>
        <v/>
      </c>
      <c r="P11" s="170" t="str">
        <f>IF(K11="Vida útil corta (&lt;2 años)",((INDEX(Dades_PA!$B$45:$Y$71,(MATCH(F11,Espècies,0)),(MATCH(L11,Dades_PA!$B$44:$Y$44,0))))*H11*(Dades_PA!$B$142/100)),IF(K11="Vida útil media (&lt;10 años)",((INDEX(Dades_PA!$B$45:$Y$71,(MATCH(F11,Espècies,0)),(MATCH(L11,Dades_PA!$B$44:$Y$44,0))))*H11*(Dades_PA!$B$143/100)),IF(K11="Vida útil larga (&gt;30 años)",Dades_PA!$B$144,IF(K11="No se obtiene producto",Dades_PA!$B$145,""))))</f>
        <v/>
      </c>
      <c r="Q11" s="170" t="str">
        <f>IF(M11="Vida útil corta (&lt;2 años)",((INDEX(Dades_PA!$B$45:$Y$71,(MATCH(F11,Espècies,0)),(MATCH(N11,Dades_PA!$B$44:$Y$44,0))))*H11*(Dades_PA!$B$142/100)),IF(M11="Vida útil media (&lt;10 años)",((INDEX(Dades_PA!$B$45:$Y$71,(MATCH(F11,Espècies,0)),(MATCH(N11,Dades_PA!$B$44:$Y$44,0))))*H11*(Dades_PA!$B$143/100)),IF(M11="Vida útil larga (&gt;30 años)",Dades_PA!$B$144,IF(M11="No se obtiene producto",Dades_PA!$B$145,""))))</f>
        <v/>
      </c>
      <c r="R11" s="108" t="str">
        <f>IF(O11="","",SUM(O11:Q11))</f>
        <v/>
      </c>
    </row>
    <row r="12" spans="1:19" ht="15.75" customHeight="1" x14ac:dyDescent="0.25">
      <c r="E12" s="316"/>
      <c r="F12" s="171" t="str">
        <f>IF('2.1 Absorciones árboles'!E8=0,"",'2.1 Absorciones árboles'!E8)</f>
        <v/>
      </c>
      <c r="G12" s="178" t="str">
        <f>$G$11</f>
        <v/>
      </c>
      <c r="H12" s="177" t="str">
        <f>IF('2.2 Emisiones restos corta'!I17="","",'2.2 Emisiones restos corta'!I17)</f>
        <v/>
      </c>
      <c r="I12" s="95"/>
      <c r="J12" s="94" t="str">
        <f t="shared" ref="J11:J60" si="0">CONCATENATE("Bb&lt;2iBf-",G12)</f>
        <v>Bb&lt;2iBf-</v>
      </c>
      <c r="K12" s="95"/>
      <c r="L12" s="94" t="str">
        <f t="shared" ref="L11:L60" si="1">CONCATENATE("Bb&gt;2-",G12)</f>
        <v>Bb&gt;2-</v>
      </c>
      <c r="M12" s="95"/>
      <c r="N12" s="88" t="str">
        <f t="shared" ref="N12:N60" si="2">CONCATENATE("Bt-",G12)</f>
        <v>Bt-</v>
      </c>
      <c r="O12" s="171" t="str">
        <f>IF(I12="Vida útil corta (&lt;2 años)",((INDEX(Dades_PA!$B$45:$Y$71,(MATCH(F12,Espècies,0)),(MATCH(J12,Dades_PA!$B$44:$Y$44,0))))*H12*(Dades_PA!$B$142/100)),IF(I12="Vida útil media (&lt;10 años)",((INDEX(Dades_PA!$B$45:$Y$71,(MATCH(F12,Espècies,0)),(MATCH(J12,Dades_PA!$B$44:$Y$44,0))))*H12*(Dades_PA!$B$143/100)),IF(I12="Vida útil larga (&gt;30 años)",Dades_PA!$B$144,IF(I12="No se obtiene producto",Dades_PA!$B$145,""))))</f>
        <v/>
      </c>
      <c r="P12" s="171" t="str">
        <f>IF(K12="Vida útil corta (&lt;2 años)",((INDEX(Dades_PA!$B$45:$Y$71,(MATCH(F12,Espècies,0)),(MATCH(L12,Dades_PA!$B$44:$Y$44,0))))*H12*(Dades_PA!$B$142/100)),IF(K12="Vida útil media (&lt;10 años)",((INDEX(Dades_PA!$B$45:$Y$71,(MATCH(F12,Espècies,0)),(MATCH(L12,Dades_PA!$B$44:$Y$44,0))))*H12*(Dades_PA!$B$143/100)),IF(K12="Vida útil larga (&gt;30 años)",Dades_PA!$B$144,IF(K12="No se obtiene producto",Dades_PA!$B$145,""))))</f>
        <v/>
      </c>
      <c r="Q12" s="171" t="str">
        <f>IF(M12="Vida útil corta (&lt;2 años)",((INDEX(Dades_PA!$B$45:$Y$71,(MATCH(F12,Espècies,0)),(MATCH(N12,Dades_PA!$B$44:$Y$44,0))))*H12*(Dades_PA!$B$142/100)),IF(M12="Vida útil media (&lt;10 años)",((INDEX(Dades_PA!$B$45:$Y$71,(MATCH(F12,Espècies,0)),(MATCH(N12,Dades_PA!$B$44:$Y$44,0))))*H12*(Dades_PA!$B$143/100)),IF(M12="Vida útil larga (&gt;30 años)",Dades_PA!$B$144,IF(M12="No se obtiene producto",Dades_PA!$B$145,""))))</f>
        <v/>
      </c>
      <c r="R12" s="109" t="str">
        <f t="shared" ref="R12:R60" si="3">IF(O12="","",SUM(O12:Q12))</f>
        <v/>
      </c>
    </row>
    <row r="13" spans="1:19" ht="15.75" customHeight="1" x14ac:dyDescent="0.25">
      <c r="E13" s="316"/>
      <c r="F13" s="171" t="str">
        <f>IF('2.1 Absorciones árboles'!E9=0,"",'2.1 Absorciones árboles'!E9)</f>
        <v/>
      </c>
      <c r="G13" s="178" t="str">
        <f t="shared" ref="G13:G20" si="4">$G$11</f>
        <v/>
      </c>
      <c r="H13" s="177" t="str">
        <f>IF('2.2 Emisiones restos corta'!I18="","",'2.2 Emisiones restos corta'!I18)</f>
        <v/>
      </c>
      <c r="I13" s="95"/>
      <c r="J13" s="94" t="str">
        <f t="shared" si="0"/>
        <v>Bb&lt;2iBf-</v>
      </c>
      <c r="K13" s="95"/>
      <c r="L13" s="94" t="str">
        <f t="shared" si="1"/>
        <v>Bb&gt;2-</v>
      </c>
      <c r="M13" s="95"/>
      <c r="N13" s="88" t="str">
        <f t="shared" si="2"/>
        <v>Bt-</v>
      </c>
      <c r="O13" s="171" t="str">
        <f>IF(I13="Vida útil corta (&lt;2 años)",((INDEX(Dades_PA!$B$45:$Y$71,(MATCH(F13,Espècies,0)),(MATCH(J13,Dades_PA!$B$44:$Y$44,0))))*H13*(Dades_PA!$B$142/100)),IF(I13="Vida útil media (&lt;10 años)",((INDEX(Dades_PA!$B$45:$Y$71,(MATCH(F13,Espècies,0)),(MATCH(J13,Dades_PA!$B$44:$Y$44,0))))*H13*(Dades_PA!$B$143/100)),IF(I13="Vida útil larga (&gt;30 años)",Dades_PA!$B$144,IF(I13="No se obtiene producto",Dades_PA!$B$145,""))))</f>
        <v/>
      </c>
      <c r="P13" s="171" t="str">
        <f>IF(K13="Vida útil corta (&lt;2 años)",((INDEX(Dades_PA!$B$45:$Y$71,(MATCH(F13,Espècies,0)),(MATCH(L13,Dades_PA!$B$44:$Y$44,0))))*H13*(Dades_PA!$B$142/100)),IF(K13="Vida útil media (&lt;10 años)",((INDEX(Dades_PA!$B$45:$Y$71,(MATCH(F13,Espècies,0)),(MATCH(L13,Dades_PA!$B$44:$Y$44,0))))*H13*(Dades_PA!$B$143/100)),IF(K13="Vida útil larga (&gt;30 años)",Dades_PA!$B$144,IF(K13="No se obtiene producto",Dades_PA!$B$145,""))))</f>
        <v/>
      </c>
      <c r="Q13" s="171" t="str">
        <f>IF(M13="Vida útil corta (&lt;2 años)",((INDEX(Dades_PA!$B$45:$Y$71,(MATCH(F13,Espècies,0)),(MATCH(N13,Dades_PA!$B$44:$Y$44,0))))*H13*(Dades_PA!$B$142/100)),IF(M13="Vida útil media (&lt;10 años)",((INDEX(Dades_PA!$B$45:$Y$71,(MATCH(F13,Espècies,0)),(MATCH(N13,Dades_PA!$B$44:$Y$44,0))))*H13*(Dades_PA!$B$143/100)),IF(M13="Vida útil larga (&gt;30 años)",Dades_PA!$B$144,IF(M13="No se obtiene producto",Dades_PA!$B$145,""))))</f>
        <v/>
      </c>
      <c r="R13" s="109" t="str">
        <f t="shared" si="3"/>
        <v/>
      </c>
    </row>
    <row r="14" spans="1:19" ht="15.75" customHeight="1" x14ac:dyDescent="0.25">
      <c r="E14" s="316"/>
      <c r="F14" s="171" t="str">
        <f>IF('2.1 Absorciones árboles'!E10=0,"",'2.1 Absorciones árboles'!E10)</f>
        <v/>
      </c>
      <c r="G14" s="178" t="str">
        <f t="shared" si="4"/>
        <v/>
      </c>
      <c r="H14" s="177" t="str">
        <f>IF('2.2 Emisiones restos corta'!I19="","",'2.2 Emisiones restos corta'!I19)</f>
        <v/>
      </c>
      <c r="I14" s="95"/>
      <c r="J14" s="94" t="str">
        <f t="shared" si="0"/>
        <v>Bb&lt;2iBf-</v>
      </c>
      <c r="K14" s="95"/>
      <c r="L14" s="94" t="str">
        <f t="shared" si="1"/>
        <v>Bb&gt;2-</v>
      </c>
      <c r="M14" s="95"/>
      <c r="N14" s="88" t="str">
        <f t="shared" si="2"/>
        <v>Bt-</v>
      </c>
      <c r="O14" s="171" t="str">
        <f>IF(I14="Vida útil corta (&lt;2 años)",((INDEX(Dades_PA!$B$45:$Y$71,(MATCH(F14,Espècies,0)),(MATCH(J14,Dades_PA!$B$44:$Y$44,0))))*H14*(Dades_PA!$B$142/100)),IF(I14="Vida útil media (&lt;10 años)",((INDEX(Dades_PA!$B$45:$Y$71,(MATCH(F14,Espècies,0)),(MATCH(J14,Dades_PA!$B$44:$Y$44,0))))*H14*(Dades_PA!$B$143/100)),IF(I14="Vida útil larga (&gt;30 años)",Dades_PA!$B$144,IF(I14="No se obtiene producto",Dades_PA!$B$145,""))))</f>
        <v/>
      </c>
      <c r="P14" s="171" t="str">
        <f>IF(K14="Vida útil corta (&lt;2 años)",((INDEX(Dades_PA!$B$45:$Y$71,(MATCH(F14,Espècies,0)),(MATCH(L14,Dades_PA!$B$44:$Y$44,0))))*H14*(Dades_PA!$B$142/100)),IF(K14="Vida útil media (&lt;10 años)",((INDEX(Dades_PA!$B$45:$Y$71,(MATCH(F14,Espècies,0)),(MATCH(L14,Dades_PA!$B$44:$Y$44,0))))*H14*(Dades_PA!$B$143/100)),IF(K14="Vida útil larga (&gt;30 años)",Dades_PA!$B$144,IF(K14="No se obtiene producto",Dades_PA!$B$145,""))))</f>
        <v/>
      </c>
      <c r="Q14" s="171" t="str">
        <f>IF(M14="Vida útil corta (&lt;2 años)",((INDEX(Dades_PA!$B$45:$Y$71,(MATCH(F14,Espècies,0)),(MATCH(N14,Dades_PA!$B$44:$Y$44,0))))*H14*(Dades_PA!$B$142/100)),IF(M14="Vida útil media (&lt;10 años)",((INDEX(Dades_PA!$B$45:$Y$71,(MATCH(F14,Espècies,0)),(MATCH(N14,Dades_PA!$B$44:$Y$44,0))))*H14*(Dades_PA!$B$143/100)),IF(M14="Vida útil larga (&gt;30 años)",Dades_PA!$B$144,IF(M14="No se obtiene producto",Dades_PA!$B$145,""))))</f>
        <v/>
      </c>
      <c r="R14" s="109" t="str">
        <f t="shared" si="3"/>
        <v/>
      </c>
    </row>
    <row r="15" spans="1:19" ht="15.75" customHeight="1" x14ac:dyDescent="0.25">
      <c r="E15" s="316"/>
      <c r="F15" s="171" t="str">
        <f>IF('2.1 Absorciones árboles'!E11=0,"",'2.1 Absorciones árboles'!E11)</f>
        <v/>
      </c>
      <c r="G15" s="178" t="str">
        <f t="shared" si="4"/>
        <v/>
      </c>
      <c r="H15" s="177" t="str">
        <f>IF('2.2 Emisiones restos corta'!I20="","",'2.2 Emisiones restos corta'!I20)</f>
        <v/>
      </c>
      <c r="I15" s="95"/>
      <c r="J15" s="94" t="str">
        <f t="shared" si="0"/>
        <v>Bb&lt;2iBf-</v>
      </c>
      <c r="K15" s="95"/>
      <c r="L15" s="94" t="str">
        <f t="shared" si="1"/>
        <v>Bb&gt;2-</v>
      </c>
      <c r="M15" s="95"/>
      <c r="N15" s="88" t="str">
        <f t="shared" si="2"/>
        <v>Bt-</v>
      </c>
      <c r="O15" s="171" t="str">
        <f>IF(I15="Vida útil corta (&lt;2 años)",((INDEX(Dades_PA!$B$45:$Y$71,(MATCH(F15,Espècies,0)),(MATCH(J15,Dades_PA!$B$44:$Y$44,0))))*H15*(Dades_PA!$B$142/100)),IF(I15="Vida útil media (&lt;10 años)",((INDEX(Dades_PA!$B$45:$Y$71,(MATCH(F15,Espècies,0)),(MATCH(J15,Dades_PA!$B$44:$Y$44,0))))*H15*(Dades_PA!$B$143/100)),IF(I15="Vida útil larga (&gt;30 años)",Dades_PA!$B$144,IF(I15="No se obtiene producto",Dades_PA!$B$145,""))))</f>
        <v/>
      </c>
      <c r="P15" s="171" t="str">
        <f>IF(K15="Vida útil corta (&lt;2 años)",((INDEX(Dades_PA!$B$45:$Y$71,(MATCH(F15,Espècies,0)),(MATCH(L15,Dades_PA!$B$44:$Y$44,0))))*H15*(Dades_PA!$B$142/100)),IF(K15="Vida útil media (&lt;10 años)",((INDEX(Dades_PA!$B$45:$Y$71,(MATCH(F15,Espècies,0)),(MATCH(L15,Dades_PA!$B$44:$Y$44,0))))*H15*(Dades_PA!$B$143/100)),IF(K15="Vida útil larga (&gt;30 años)",Dades_PA!$B$144,IF(K15="No se obtiene producto",Dades_PA!$B$145,""))))</f>
        <v/>
      </c>
      <c r="Q15" s="171" t="str">
        <f>IF(M15="Vida útil corta (&lt;2 años)",((INDEX(Dades_PA!$B$45:$Y$71,(MATCH(F15,Espècies,0)),(MATCH(N15,Dades_PA!$B$44:$Y$44,0))))*H15*(Dades_PA!$B$142/100)),IF(M15="Vida útil media (&lt;10 años)",((INDEX(Dades_PA!$B$45:$Y$71,(MATCH(F15,Espècies,0)),(MATCH(N15,Dades_PA!$B$44:$Y$44,0))))*H15*(Dades_PA!$B$143/100)),IF(M15="Vida útil larga (&gt;30 años)",Dades_PA!$B$144,IF(M15="No se obtiene producto",Dades_PA!$B$145,""))))</f>
        <v/>
      </c>
      <c r="R15" s="109" t="str">
        <f t="shared" si="3"/>
        <v/>
      </c>
    </row>
    <row r="16" spans="1:19" ht="15.75" customHeight="1" x14ac:dyDescent="0.25">
      <c r="E16" s="316"/>
      <c r="F16" s="171" t="str">
        <f>IF('2.1 Absorciones árboles'!E12=0,"",'2.1 Absorciones árboles'!E12)</f>
        <v/>
      </c>
      <c r="G16" s="178" t="str">
        <f t="shared" si="4"/>
        <v/>
      </c>
      <c r="H16" s="177" t="str">
        <f>IF('2.2 Emisiones restos corta'!I21="","",'2.2 Emisiones restos corta'!I21)</f>
        <v/>
      </c>
      <c r="I16" s="95"/>
      <c r="J16" s="94" t="str">
        <f t="shared" si="0"/>
        <v>Bb&lt;2iBf-</v>
      </c>
      <c r="K16" s="95"/>
      <c r="L16" s="94" t="str">
        <f t="shared" si="1"/>
        <v>Bb&gt;2-</v>
      </c>
      <c r="M16" s="95"/>
      <c r="N16" s="88" t="str">
        <f t="shared" si="2"/>
        <v>Bt-</v>
      </c>
      <c r="O16" s="171" t="str">
        <f>IF(I16="Vida útil corta (&lt;2 años)",((INDEX(Dades_PA!$B$45:$Y$71,(MATCH(F16,Espècies,0)),(MATCH(J16,Dades_PA!$B$44:$Y$44,0))))*H16*(Dades_PA!$B$142/100)),IF(I16="Vida útil media (&lt;10 años)",((INDEX(Dades_PA!$B$45:$Y$71,(MATCH(F16,Espècies,0)),(MATCH(J16,Dades_PA!$B$44:$Y$44,0))))*H16*(Dades_PA!$B$143/100)),IF(I16="Vida útil larga (&gt;30 años)",Dades_PA!$B$144,IF(I16="No se obtiene producto",Dades_PA!$B$145,""))))</f>
        <v/>
      </c>
      <c r="P16" s="171" t="str">
        <f>IF(K16="Vida útil corta (&lt;2 años)",((INDEX(Dades_PA!$B$45:$Y$71,(MATCH(F16,Espècies,0)),(MATCH(L16,Dades_PA!$B$44:$Y$44,0))))*H16*(Dades_PA!$B$142/100)),IF(K16="Vida útil media (&lt;10 años)",((INDEX(Dades_PA!$B$45:$Y$71,(MATCH(F16,Espècies,0)),(MATCH(L16,Dades_PA!$B$44:$Y$44,0))))*H16*(Dades_PA!$B$143/100)),IF(K16="Vida útil larga (&gt;30 años)",Dades_PA!$B$144,IF(K16="No se obtiene producto",Dades_PA!$B$145,""))))</f>
        <v/>
      </c>
      <c r="Q16" s="171" t="str">
        <f>IF(M16="Vida útil corta (&lt;2 años)",((INDEX(Dades_PA!$B$45:$Y$71,(MATCH(F16,Espècies,0)),(MATCH(N16,Dades_PA!$B$44:$Y$44,0))))*H16*(Dades_PA!$B$142/100)),IF(M16="Vida útil media (&lt;10 años)",((INDEX(Dades_PA!$B$45:$Y$71,(MATCH(F16,Espècies,0)),(MATCH(N16,Dades_PA!$B$44:$Y$44,0))))*H16*(Dades_PA!$B$143/100)),IF(M16="Vida útil larga (&gt;30 años)",Dades_PA!$B$144,IF(M16="No se obtiene producto",Dades_PA!$B$145,""))))</f>
        <v/>
      </c>
      <c r="R16" s="109" t="str">
        <f t="shared" si="3"/>
        <v/>
      </c>
    </row>
    <row r="17" spans="5:18" ht="15.75" customHeight="1" x14ac:dyDescent="0.25">
      <c r="E17" s="316"/>
      <c r="F17" s="171" t="str">
        <f>IF('2.1 Absorciones árboles'!E13=0,"",'2.1 Absorciones árboles'!E13)</f>
        <v/>
      </c>
      <c r="G17" s="178" t="str">
        <f t="shared" si="4"/>
        <v/>
      </c>
      <c r="H17" s="177" t="str">
        <f>IF('2.2 Emisiones restos corta'!I22="","",'2.2 Emisiones restos corta'!I22)</f>
        <v/>
      </c>
      <c r="I17" s="95"/>
      <c r="J17" s="94" t="str">
        <f t="shared" si="0"/>
        <v>Bb&lt;2iBf-</v>
      </c>
      <c r="K17" s="95"/>
      <c r="L17" s="94" t="str">
        <f t="shared" si="1"/>
        <v>Bb&gt;2-</v>
      </c>
      <c r="M17" s="95"/>
      <c r="N17" s="88" t="str">
        <f t="shared" si="2"/>
        <v>Bt-</v>
      </c>
      <c r="O17" s="171" t="str">
        <f>IF(I17="Vida útil corta (&lt;2 años)",((INDEX(Dades_PA!$B$45:$Y$71,(MATCH(F17,Espècies,0)),(MATCH(J17,Dades_PA!$B$44:$Y$44,0))))*H17*(Dades_PA!$B$142/100)),IF(I17="Vida útil media (&lt;10 años)",((INDEX(Dades_PA!$B$45:$Y$71,(MATCH(F17,Espècies,0)),(MATCH(J17,Dades_PA!$B$44:$Y$44,0))))*H17*(Dades_PA!$B$143/100)),IF(I17="Vida útil larga (&gt;30 años)",Dades_PA!$B$144,IF(I17="No se obtiene producto",Dades_PA!$B$145,""))))</f>
        <v/>
      </c>
      <c r="P17" s="171" t="str">
        <f>IF(K17="Vida útil corta (&lt;2 años)",((INDEX(Dades_PA!$B$45:$Y$71,(MATCH(F17,Espècies,0)),(MATCH(L17,Dades_PA!$B$44:$Y$44,0))))*H17*(Dades_PA!$B$142/100)),IF(K17="Vida útil media (&lt;10 años)",((INDEX(Dades_PA!$B$45:$Y$71,(MATCH(F17,Espècies,0)),(MATCH(L17,Dades_PA!$B$44:$Y$44,0))))*H17*(Dades_PA!$B$143/100)),IF(K17="Vida útil larga (&gt;30 años)",Dades_PA!$B$144,IF(K17="No se obtiene producto",Dades_PA!$B$145,""))))</f>
        <v/>
      </c>
      <c r="Q17" s="171" t="str">
        <f>IF(M17="Vida útil corta (&lt;2 años)",((INDEX(Dades_PA!$B$45:$Y$71,(MATCH(F17,Espècies,0)),(MATCH(N17,Dades_PA!$B$44:$Y$44,0))))*H17*(Dades_PA!$B$142/100)),IF(M17="Vida útil media (&lt;10 años)",((INDEX(Dades_PA!$B$45:$Y$71,(MATCH(F17,Espècies,0)),(MATCH(N17,Dades_PA!$B$44:$Y$44,0))))*H17*(Dades_PA!$B$143/100)),IF(M17="Vida útil larga (&gt;30 años)",Dades_PA!$B$144,IF(M17="No se obtiene producto",Dades_PA!$B$145,""))))</f>
        <v/>
      </c>
      <c r="R17" s="109" t="str">
        <f t="shared" si="3"/>
        <v/>
      </c>
    </row>
    <row r="18" spans="5:18" ht="15.75" customHeight="1" x14ac:dyDescent="0.25">
      <c r="E18" s="316"/>
      <c r="F18" s="171" t="str">
        <f>IF('2.1 Absorciones árboles'!E14=0,"",'2.1 Absorciones árboles'!E14)</f>
        <v/>
      </c>
      <c r="G18" s="178" t="str">
        <f t="shared" si="4"/>
        <v/>
      </c>
      <c r="H18" s="177" t="str">
        <f>IF('2.2 Emisiones restos corta'!I23="","",'2.2 Emisiones restos corta'!I23)</f>
        <v/>
      </c>
      <c r="I18" s="95"/>
      <c r="J18" s="94" t="str">
        <f t="shared" si="0"/>
        <v>Bb&lt;2iBf-</v>
      </c>
      <c r="K18" s="95"/>
      <c r="L18" s="94" t="str">
        <f t="shared" si="1"/>
        <v>Bb&gt;2-</v>
      </c>
      <c r="M18" s="95"/>
      <c r="N18" s="88" t="str">
        <f t="shared" si="2"/>
        <v>Bt-</v>
      </c>
      <c r="O18" s="171" t="str">
        <f>IF(I18="Vida útil corta (&lt;2 años)",((INDEX(Dades_PA!$B$45:$Y$71,(MATCH(F18,Espècies,0)),(MATCH(J18,Dades_PA!$B$44:$Y$44,0))))*H18*(Dades_PA!$B$142/100)),IF(I18="Vida útil media (&lt;10 años)",((INDEX(Dades_PA!$B$45:$Y$71,(MATCH(F18,Espècies,0)),(MATCH(J18,Dades_PA!$B$44:$Y$44,0))))*H18*(Dades_PA!$B$143/100)),IF(I18="Vida útil larga (&gt;30 años)",Dades_PA!$B$144,IF(I18="No se obtiene producto",Dades_PA!$B$145,""))))</f>
        <v/>
      </c>
      <c r="P18" s="171" t="str">
        <f>IF(K18="Vida útil corta (&lt;2 años)",((INDEX(Dades_PA!$B$45:$Y$71,(MATCH(F18,Espècies,0)),(MATCH(L18,Dades_PA!$B$44:$Y$44,0))))*H18*(Dades_PA!$B$142/100)),IF(K18="Vida útil media (&lt;10 años)",((INDEX(Dades_PA!$B$45:$Y$71,(MATCH(F18,Espècies,0)),(MATCH(L18,Dades_PA!$B$44:$Y$44,0))))*H18*(Dades_PA!$B$143/100)),IF(K18="Vida útil larga (&gt;30 años)",Dades_PA!$B$144,IF(K18="No se obtiene producto",Dades_PA!$B$145,""))))</f>
        <v/>
      </c>
      <c r="Q18" s="171" t="str">
        <f>IF(M18="Vida útil corta (&lt;2 años)",((INDEX(Dades_PA!$B$45:$Y$71,(MATCH(F18,Espècies,0)),(MATCH(N18,Dades_PA!$B$44:$Y$44,0))))*H18*(Dades_PA!$B$142/100)),IF(M18="Vida útil media (&lt;10 años)",((INDEX(Dades_PA!$B$45:$Y$71,(MATCH(F18,Espècies,0)),(MATCH(N18,Dades_PA!$B$44:$Y$44,0))))*H18*(Dades_PA!$B$143/100)),IF(M18="Vida útil larga (&gt;30 años)",Dades_PA!$B$144,IF(M18="No se obtiene producto",Dades_PA!$B$145,""))))</f>
        <v/>
      </c>
      <c r="R18" s="109" t="str">
        <f t="shared" si="3"/>
        <v/>
      </c>
    </row>
    <row r="19" spans="5:18" ht="15.75" customHeight="1" x14ac:dyDescent="0.25">
      <c r="E19" s="316"/>
      <c r="F19" s="171" t="str">
        <f>IF('2.1 Absorciones árboles'!E15=0,"",'2.1 Absorciones árboles'!E15)</f>
        <v/>
      </c>
      <c r="G19" s="178" t="str">
        <f t="shared" si="4"/>
        <v/>
      </c>
      <c r="H19" s="177" t="str">
        <f>IF('2.2 Emisiones restos corta'!I24="","",'2.2 Emisiones restos corta'!I24)</f>
        <v/>
      </c>
      <c r="I19" s="95"/>
      <c r="J19" s="94" t="str">
        <f t="shared" si="0"/>
        <v>Bb&lt;2iBf-</v>
      </c>
      <c r="K19" s="95"/>
      <c r="L19" s="94" t="str">
        <f t="shared" si="1"/>
        <v>Bb&gt;2-</v>
      </c>
      <c r="M19" s="95"/>
      <c r="N19" s="88" t="str">
        <f t="shared" si="2"/>
        <v>Bt-</v>
      </c>
      <c r="O19" s="171" t="str">
        <f>IF(I19="Vida útil corta (&lt;2 años)",((INDEX(Dades_PA!$B$45:$Y$71,(MATCH(F19,Espècies,0)),(MATCH(J19,Dades_PA!$B$44:$Y$44,0))))*H19*(Dades_PA!$B$142/100)),IF(I19="Vida útil media (&lt;10 años)",((INDEX(Dades_PA!$B$45:$Y$71,(MATCH(F19,Espècies,0)),(MATCH(J19,Dades_PA!$B$44:$Y$44,0))))*H19*(Dades_PA!$B$143/100)),IF(I19="Vida útil larga (&gt;30 años)",Dades_PA!$B$144,IF(I19="No se obtiene producto",Dades_PA!$B$145,""))))</f>
        <v/>
      </c>
      <c r="P19" s="171" t="str">
        <f>IF(K19="Vida útil corta (&lt;2 años)",((INDEX(Dades_PA!$B$45:$Y$71,(MATCH(F19,Espècies,0)),(MATCH(L19,Dades_PA!$B$44:$Y$44,0))))*H19*(Dades_PA!$B$142/100)),IF(K19="Vida útil media (&lt;10 años)",((INDEX(Dades_PA!$B$45:$Y$71,(MATCH(F19,Espècies,0)),(MATCH(L19,Dades_PA!$B$44:$Y$44,0))))*H19*(Dades_PA!$B$143/100)),IF(K19="Vida útil larga (&gt;30 años)",Dades_PA!$B$144,IF(K19="No se obtiene producto",Dades_PA!$B$145,""))))</f>
        <v/>
      </c>
      <c r="Q19" s="171" t="str">
        <f>IF(M19="Vida útil corta (&lt;2 años)",((INDEX(Dades_PA!$B$45:$Y$71,(MATCH(F19,Espècies,0)),(MATCH(N19,Dades_PA!$B$44:$Y$44,0))))*H19*(Dades_PA!$B$142/100)),IF(M19="Vida útil media (&lt;10 años)",((INDEX(Dades_PA!$B$45:$Y$71,(MATCH(F19,Espècies,0)),(MATCH(N19,Dades_PA!$B$44:$Y$44,0))))*H19*(Dades_PA!$B$143/100)),IF(M19="Vida útil larga (&gt;30 años)",Dades_PA!$B$144,IF(M19="No se obtiene producto",Dades_PA!$B$145,""))))</f>
        <v/>
      </c>
      <c r="R19" s="109" t="str">
        <f t="shared" si="3"/>
        <v/>
      </c>
    </row>
    <row r="20" spans="5:18" ht="15.75" customHeight="1" thickBot="1" x14ac:dyDescent="0.3">
      <c r="E20" s="317"/>
      <c r="F20" s="172" t="str">
        <f>IF('2.1 Absorciones árboles'!E16=0,"",'2.1 Absorciones árboles'!E16)</f>
        <v/>
      </c>
      <c r="G20" s="188" t="str">
        <f t="shared" si="4"/>
        <v/>
      </c>
      <c r="H20" s="189" t="str">
        <f>IF('2.2 Emisiones restos corta'!I25="","",'2.2 Emisiones restos corta'!I25)</f>
        <v/>
      </c>
      <c r="I20" s="97"/>
      <c r="J20" s="96" t="str">
        <f t="shared" si="0"/>
        <v>Bb&lt;2iBf-</v>
      </c>
      <c r="K20" s="97"/>
      <c r="L20" s="96" t="str">
        <f t="shared" si="1"/>
        <v>Bb&gt;2-</v>
      </c>
      <c r="M20" s="97"/>
      <c r="N20" s="92" t="str">
        <f t="shared" si="2"/>
        <v>Bt-</v>
      </c>
      <c r="O20" s="172" t="str">
        <f>IF(I20="Vida útil corta (&lt;2 años)",((INDEX(Dades_PA!$B$45:$Y$71,(MATCH(F20,Espècies,0)),(MATCH(J20,Dades_PA!$B$44:$Y$44,0))))*H20*(Dades_PA!$B$142/100)),IF(I20="Vida útil media (&lt;10 años)",((INDEX(Dades_PA!$B$45:$Y$71,(MATCH(F20,Espècies,0)),(MATCH(J20,Dades_PA!$B$44:$Y$44,0))))*H20*(Dades_PA!$B$143/100)),IF(I20="Vida útil larga (&gt;30 años)",Dades_PA!$B$144,IF(I20="No se obtiene producto",Dades_PA!$B$145,""))))</f>
        <v/>
      </c>
      <c r="P20" s="172" t="str">
        <f>IF(K20="Vida útil corta (&lt;2 años)",((INDEX(Dades_PA!$B$45:$Y$71,(MATCH(F20,Espècies,0)),(MATCH(L20,Dades_PA!$B$44:$Y$44,0))))*H20*(Dades_PA!$B$142/100)),IF(K20="Vida útil media (&lt;10 años)",((INDEX(Dades_PA!$B$45:$Y$71,(MATCH(F20,Espècies,0)),(MATCH(L20,Dades_PA!$B$44:$Y$44,0))))*H20*(Dades_PA!$B$143/100)),IF(K20="Vida útil larga (&gt;30 años)",Dades_PA!$B$144,IF(K20="No se obtiene producto",Dades_PA!$B$145,""))))</f>
        <v/>
      </c>
      <c r="Q20" s="172" t="str">
        <f>IF(M20="Vida útil corta (&lt;2 años)",((INDEX(Dades_PA!$B$45:$Y$71,(MATCH(F20,Espècies,0)),(MATCH(N20,Dades_PA!$B$44:$Y$44,0))))*H20*(Dades_PA!$B$142/100)),IF(M20="Vida útil media (&lt;10 años)",((INDEX(Dades_PA!$B$45:$Y$71,(MATCH(F20,Espècies,0)),(MATCH(N20,Dades_PA!$B$44:$Y$44,0))))*H20*(Dades_PA!$B$143/100)),IF(M20="Vida útil larga (&gt;30 años)",Dades_PA!$B$144,IF(M20="No se obtiene producto",Dades_PA!$B$145,""))))</f>
        <v/>
      </c>
      <c r="R20" s="110" t="str">
        <f t="shared" si="3"/>
        <v/>
      </c>
    </row>
    <row r="21" spans="5:18" ht="15.75" customHeight="1" x14ac:dyDescent="0.25">
      <c r="E21" s="315" t="str">
        <f>IF(('1. Datos generales del proyecto'!D32)="","",('1. Datos generales del proyecto'!D32))</f>
        <v/>
      </c>
      <c r="F21" s="170" t="str">
        <f>IF('2.1 Absorciones árboles'!E17=0,"",'2.1 Absorciones árboles'!E17)</f>
        <v/>
      </c>
      <c r="G21" s="185" t="str">
        <f>IF(('2.1 Absorciones árboles'!H17&gt;0),('2.1 Absorciones árboles'!H17),"")</f>
        <v/>
      </c>
      <c r="H21" s="186" t="str">
        <f>IF('2.2 Emisiones restos corta'!I26="","",'2.2 Emisiones restos corta'!I26)</f>
        <v/>
      </c>
      <c r="I21" s="80"/>
      <c r="J21" s="93" t="str">
        <f t="shared" si="0"/>
        <v>Bb&lt;2iBf-</v>
      </c>
      <c r="K21" s="80"/>
      <c r="L21" s="93" t="str">
        <f t="shared" si="1"/>
        <v>Bb&gt;2-</v>
      </c>
      <c r="M21" s="80"/>
      <c r="N21" s="84" t="str">
        <f t="shared" si="2"/>
        <v>Bt-</v>
      </c>
      <c r="O21" s="170" t="str">
        <f>IF(I21="Vida útil corta (&lt;2 años)",((INDEX(Dades_PA!$B$45:$Y$71,(MATCH(F21,Espècies,0)),(MATCH(J21,Dades_PA!$B$44:$Y$44,0))))*H21*(Dades_PA!$B$142/100)),IF(I21="Vida útil media (&lt;10 años)",((INDEX(Dades_PA!$B$45:$Y$71,(MATCH(F21,Espècies,0)),(MATCH(J21,Dades_PA!$B$44:$Y$44,0))))*H21*(Dades_PA!$B$143/100)),IF(I21="Vida útil larga (&gt;30 años)",Dades_PA!$B$144,IF(I21="No se obtiene producto",Dades_PA!$B$145,""))))</f>
        <v/>
      </c>
      <c r="P21" s="170" t="str">
        <f>IF(K21="Vida útil corta (&lt;2 años)",((INDEX(Dades_PA!$B$45:$Y$71,(MATCH(F21,Espècies,0)),(MATCH(L21,Dades_PA!$B$44:$Y$44,0))))*H21*(Dades_PA!$B$142/100)),IF(K21="Vida útil media (&lt;10 años)",((INDEX(Dades_PA!$B$45:$Y$71,(MATCH(F21,Espècies,0)),(MATCH(L21,Dades_PA!$B$44:$Y$44,0))))*H21*(Dades_PA!$B$143/100)),IF(K21="Vida útil larga (&gt;30 años)",Dades_PA!$B$144,IF(K21="No se obtiene producto",Dades_PA!$B$145,""))))</f>
        <v/>
      </c>
      <c r="Q21" s="170" t="str">
        <f>IF(M21="Vida útil corta (&lt;2 años)",((INDEX(Dades_PA!$B$45:$Y$71,(MATCH(F21,Espècies,0)),(MATCH(N21,Dades_PA!$B$44:$Y$44,0))))*H21*(Dades_PA!$B$142/100)),IF(M21="Vida útil media (&lt;10 años)",((INDEX(Dades_PA!$B$45:$Y$71,(MATCH(F21,Espècies,0)),(MATCH(N21,Dades_PA!$B$44:$Y$44,0))))*H21*(Dades_PA!$B$143/100)),IF(M21="Vida útil larga (&gt;30 años)",Dades_PA!$B$144,IF(M21="No se obtiene producto",Dades_PA!$B$145,""))))</f>
        <v/>
      </c>
      <c r="R21" s="108" t="str">
        <f t="shared" si="3"/>
        <v/>
      </c>
    </row>
    <row r="22" spans="5:18" ht="15.75" customHeight="1" x14ac:dyDescent="0.25">
      <c r="E22" s="316"/>
      <c r="F22" s="171" t="str">
        <f>IF('2.1 Absorciones árboles'!E18=0,"",'2.1 Absorciones árboles'!E18)</f>
        <v/>
      </c>
      <c r="G22" s="178" t="str">
        <f>$G$21</f>
        <v/>
      </c>
      <c r="H22" s="177" t="str">
        <f>IF('2.2 Emisiones restos corta'!I27="","",'2.2 Emisiones restos corta'!I27)</f>
        <v/>
      </c>
      <c r="I22" s="95"/>
      <c r="J22" s="94" t="str">
        <f t="shared" si="0"/>
        <v>Bb&lt;2iBf-</v>
      </c>
      <c r="K22" s="95"/>
      <c r="L22" s="94" t="str">
        <f t="shared" si="1"/>
        <v>Bb&gt;2-</v>
      </c>
      <c r="M22" s="95"/>
      <c r="N22" s="88" t="str">
        <f t="shared" si="2"/>
        <v>Bt-</v>
      </c>
      <c r="O22" s="171" t="str">
        <f>IF(I22="Vida útil corta (&lt;2 años)",((INDEX(Dades_PA!$B$45:$Y$71,(MATCH(F22,Espècies,0)),(MATCH(J22,Dades_PA!$B$44:$Y$44,0))))*H22*(Dades_PA!$B$142/100)),IF(I22="Vida útil media (&lt;10 años)",((INDEX(Dades_PA!$B$45:$Y$71,(MATCH(F22,Espècies,0)),(MATCH(J22,Dades_PA!$B$44:$Y$44,0))))*H22*(Dades_PA!$B$143/100)),IF(I22="Vida útil larga (&gt;30 años)",Dades_PA!$B$144,IF(I22="No se obtiene producto",Dades_PA!$B$145,""))))</f>
        <v/>
      </c>
      <c r="P22" s="171" t="str">
        <f>IF(K22="Vida útil corta (&lt;2 años)",((INDEX(Dades_PA!$B$45:$Y$71,(MATCH(F22,Espècies,0)),(MATCH(L22,Dades_PA!$B$44:$Y$44,0))))*H22*(Dades_PA!$B$142/100)),IF(K22="Vida útil media (&lt;10 años)",((INDEX(Dades_PA!$B$45:$Y$71,(MATCH(F22,Espècies,0)),(MATCH(L22,Dades_PA!$B$44:$Y$44,0))))*H22*(Dades_PA!$B$143/100)),IF(K22="Vida útil larga (&gt;30 años)",Dades_PA!$B$144,IF(K22="No se obtiene producto",Dades_PA!$B$145,""))))</f>
        <v/>
      </c>
      <c r="Q22" s="171" t="str">
        <f>IF(M22="Vida útil corta (&lt;2 años)",((INDEX(Dades_PA!$B$45:$Y$71,(MATCH(F22,Espècies,0)),(MATCH(N22,Dades_PA!$B$44:$Y$44,0))))*H22*(Dades_PA!$B$142/100)),IF(M22="Vida útil media (&lt;10 años)",((INDEX(Dades_PA!$B$45:$Y$71,(MATCH(F22,Espècies,0)),(MATCH(N22,Dades_PA!$B$44:$Y$44,0))))*H22*(Dades_PA!$B$143/100)),IF(M22="Vida útil larga (&gt;30 años)",Dades_PA!$B$144,IF(M22="No se obtiene producto",Dades_PA!$B$145,""))))</f>
        <v/>
      </c>
      <c r="R22" s="109" t="str">
        <f t="shared" si="3"/>
        <v/>
      </c>
    </row>
    <row r="23" spans="5:18" ht="15.75" customHeight="1" x14ac:dyDescent="0.25">
      <c r="E23" s="316"/>
      <c r="F23" s="171" t="str">
        <f>IF('2.1 Absorciones árboles'!E19=0,"",'2.1 Absorciones árboles'!E19)</f>
        <v/>
      </c>
      <c r="G23" s="178" t="str">
        <f t="shared" ref="G23:G30" si="5">$G$21</f>
        <v/>
      </c>
      <c r="H23" s="177" t="str">
        <f>IF('2.2 Emisiones restos corta'!I28="","",'2.2 Emisiones restos corta'!I28)</f>
        <v/>
      </c>
      <c r="I23" s="95"/>
      <c r="J23" s="94" t="str">
        <f t="shared" si="0"/>
        <v>Bb&lt;2iBf-</v>
      </c>
      <c r="K23" s="95"/>
      <c r="L23" s="94" t="str">
        <f t="shared" si="1"/>
        <v>Bb&gt;2-</v>
      </c>
      <c r="M23" s="95"/>
      <c r="N23" s="88" t="str">
        <f t="shared" si="2"/>
        <v>Bt-</v>
      </c>
      <c r="O23" s="171" t="str">
        <f>IF(I23="Vida útil corta (&lt;2 años)",((INDEX(Dades_PA!$B$45:$Y$71,(MATCH(F23,Espècies,0)),(MATCH(J23,Dades_PA!$B$44:$Y$44,0))))*H23*(Dades_PA!$B$142/100)),IF(I23="Vida útil media (&lt;10 años)",((INDEX(Dades_PA!$B$45:$Y$71,(MATCH(F23,Espècies,0)),(MATCH(J23,Dades_PA!$B$44:$Y$44,0))))*H23*(Dades_PA!$B$143/100)),IF(I23="Vida útil larga (&gt;30 años)",Dades_PA!$B$144,IF(I23="No se obtiene producto",Dades_PA!$B$145,""))))</f>
        <v/>
      </c>
      <c r="P23" s="171" t="str">
        <f>IF(K23="Vida útil corta (&lt;2 años)",((INDEX(Dades_PA!$B$45:$Y$71,(MATCH(F23,Espècies,0)),(MATCH(L23,Dades_PA!$B$44:$Y$44,0))))*H23*(Dades_PA!$B$142/100)),IF(K23="Vida útil media (&lt;10 años)",((INDEX(Dades_PA!$B$45:$Y$71,(MATCH(F23,Espècies,0)),(MATCH(L23,Dades_PA!$B$44:$Y$44,0))))*H23*(Dades_PA!$B$143/100)),IF(K23="Vida útil larga (&gt;30 años)",Dades_PA!$B$144,IF(K23="No se obtiene producto",Dades_PA!$B$145,""))))</f>
        <v/>
      </c>
      <c r="Q23" s="171" t="str">
        <f>IF(M23="Vida útil corta (&lt;2 años)",((INDEX(Dades_PA!$B$45:$Y$71,(MATCH(F23,Espècies,0)),(MATCH(N23,Dades_PA!$B$44:$Y$44,0))))*H23*(Dades_PA!$B$142/100)),IF(M23="Vida útil media (&lt;10 años)",((INDEX(Dades_PA!$B$45:$Y$71,(MATCH(F23,Espècies,0)),(MATCH(N23,Dades_PA!$B$44:$Y$44,0))))*H23*(Dades_PA!$B$143/100)),IF(M23="Vida útil larga (&gt;30 años)",Dades_PA!$B$144,IF(M23="No se obtiene producto",Dades_PA!$B$145,""))))</f>
        <v/>
      </c>
      <c r="R23" s="109" t="str">
        <f t="shared" si="3"/>
        <v/>
      </c>
    </row>
    <row r="24" spans="5:18" ht="15.75" customHeight="1" x14ac:dyDescent="0.25">
      <c r="E24" s="316"/>
      <c r="F24" s="171" t="str">
        <f>IF('2.1 Absorciones árboles'!E20=0,"",'2.1 Absorciones árboles'!E20)</f>
        <v/>
      </c>
      <c r="G24" s="178" t="str">
        <f t="shared" si="5"/>
        <v/>
      </c>
      <c r="H24" s="177" t="str">
        <f>IF('2.2 Emisiones restos corta'!I29="","",'2.2 Emisiones restos corta'!I29)</f>
        <v/>
      </c>
      <c r="I24" s="95"/>
      <c r="J24" s="94" t="str">
        <f t="shared" si="0"/>
        <v>Bb&lt;2iBf-</v>
      </c>
      <c r="K24" s="95"/>
      <c r="L24" s="94" t="str">
        <f t="shared" si="1"/>
        <v>Bb&gt;2-</v>
      </c>
      <c r="M24" s="95"/>
      <c r="N24" s="88" t="str">
        <f t="shared" si="2"/>
        <v>Bt-</v>
      </c>
      <c r="O24" s="171" t="str">
        <f>IF(I24="Vida útil corta (&lt;2 años)",((INDEX(Dades_PA!$B$45:$Y$71,(MATCH(F24,Espècies,0)),(MATCH(J24,Dades_PA!$B$44:$Y$44,0))))*H24*(Dades_PA!$B$142/100)),IF(I24="Vida útil media (&lt;10 años)",((INDEX(Dades_PA!$B$45:$Y$71,(MATCH(F24,Espècies,0)),(MATCH(J24,Dades_PA!$B$44:$Y$44,0))))*H24*(Dades_PA!$B$143/100)),IF(I24="Vida útil larga (&gt;30 años)",Dades_PA!$B$144,IF(I24="No se obtiene producto",Dades_PA!$B$145,""))))</f>
        <v/>
      </c>
      <c r="P24" s="171" t="str">
        <f>IF(K24="Vida útil corta (&lt;2 años)",((INDEX(Dades_PA!$B$45:$Y$71,(MATCH(F24,Espècies,0)),(MATCH(L24,Dades_PA!$B$44:$Y$44,0))))*H24*(Dades_PA!$B$142/100)),IF(K24="Vida útil media (&lt;10 años)",((INDEX(Dades_PA!$B$45:$Y$71,(MATCH(F24,Espècies,0)),(MATCH(L24,Dades_PA!$B$44:$Y$44,0))))*H24*(Dades_PA!$B$143/100)),IF(K24="Vida útil larga (&gt;30 años)",Dades_PA!$B$144,IF(K24="No se obtiene producto",Dades_PA!$B$145,""))))</f>
        <v/>
      </c>
      <c r="Q24" s="171" t="str">
        <f>IF(M24="Vida útil corta (&lt;2 años)",((INDEX(Dades_PA!$B$45:$Y$71,(MATCH(F24,Espècies,0)),(MATCH(N24,Dades_PA!$B$44:$Y$44,0))))*H24*(Dades_PA!$B$142/100)),IF(M24="Vida útil media (&lt;10 años)",((INDEX(Dades_PA!$B$45:$Y$71,(MATCH(F24,Espècies,0)),(MATCH(N24,Dades_PA!$B$44:$Y$44,0))))*H24*(Dades_PA!$B$143/100)),IF(M24="Vida útil larga (&gt;30 años)",Dades_PA!$B$144,IF(M24="No se obtiene producto",Dades_PA!$B$145,""))))</f>
        <v/>
      </c>
      <c r="R24" s="109" t="str">
        <f t="shared" si="3"/>
        <v/>
      </c>
    </row>
    <row r="25" spans="5:18" ht="15.75" customHeight="1" x14ac:dyDescent="0.25">
      <c r="E25" s="316"/>
      <c r="F25" s="171" t="str">
        <f>IF('2.1 Absorciones árboles'!E21=0,"",'2.1 Absorciones árboles'!E21)</f>
        <v/>
      </c>
      <c r="G25" s="178" t="str">
        <f t="shared" si="5"/>
        <v/>
      </c>
      <c r="H25" s="177" t="str">
        <f>IF('2.2 Emisiones restos corta'!I30="","",'2.2 Emisiones restos corta'!I30)</f>
        <v/>
      </c>
      <c r="I25" s="95"/>
      <c r="J25" s="94" t="str">
        <f t="shared" si="0"/>
        <v>Bb&lt;2iBf-</v>
      </c>
      <c r="K25" s="95"/>
      <c r="L25" s="94" t="str">
        <f t="shared" si="1"/>
        <v>Bb&gt;2-</v>
      </c>
      <c r="M25" s="95"/>
      <c r="N25" s="88" t="str">
        <f t="shared" si="2"/>
        <v>Bt-</v>
      </c>
      <c r="O25" s="171" t="str">
        <f>IF(I25="Vida útil corta (&lt;2 años)",((INDEX(Dades_PA!$B$45:$Y$71,(MATCH(F25,Espècies,0)),(MATCH(J25,Dades_PA!$B$44:$Y$44,0))))*H25*(Dades_PA!$B$142/100)),IF(I25="Vida útil media (&lt;10 años)",((INDEX(Dades_PA!$B$45:$Y$71,(MATCH(F25,Espècies,0)),(MATCH(J25,Dades_PA!$B$44:$Y$44,0))))*H25*(Dades_PA!$B$143/100)),IF(I25="Vida útil larga (&gt;30 años)",Dades_PA!$B$144,IF(I25="No se obtiene producto",Dades_PA!$B$145,""))))</f>
        <v/>
      </c>
      <c r="P25" s="171" t="str">
        <f>IF(K25="Vida útil corta (&lt;2 años)",((INDEX(Dades_PA!$B$45:$Y$71,(MATCH(F25,Espècies,0)),(MATCH(L25,Dades_PA!$B$44:$Y$44,0))))*H25*(Dades_PA!$B$142/100)),IF(K25="Vida útil media (&lt;10 años)",((INDEX(Dades_PA!$B$45:$Y$71,(MATCH(F25,Espècies,0)),(MATCH(L25,Dades_PA!$B$44:$Y$44,0))))*H25*(Dades_PA!$B$143/100)),IF(K25="Vida útil larga (&gt;30 años)",Dades_PA!$B$144,IF(K25="No se obtiene producto",Dades_PA!$B$145,""))))</f>
        <v/>
      </c>
      <c r="Q25" s="171" t="str">
        <f>IF(M25="Vida útil corta (&lt;2 años)",((INDEX(Dades_PA!$B$45:$Y$71,(MATCH(F25,Espècies,0)),(MATCH(N25,Dades_PA!$B$44:$Y$44,0))))*H25*(Dades_PA!$B$142/100)),IF(M25="Vida útil media (&lt;10 años)",((INDEX(Dades_PA!$B$45:$Y$71,(MATCH(F25,Espècies,0)),(MATCH(N25,Dades_PA!$B$44:$Y$44,0))))*H25*(Dades_PA!$B$143/100)),IF(M25="Vida útil larga (&gt;30 años)",Dades_PA!$B$144,IF(M25="No se obtiene producto",Dades_PA!$B$145,""))))</f>
        <v/>
      </c>
      <c r="R25" s="109" t="str">
        <f t="shared" si="3"/>
        <v/>
      </c>
    </row>
    <row r="26" spans="5:18" ht="15.75" customHeight="1" x14ac:dyDescent="0.25">
      <c r="E26" s="316"/>
      <c r="F26" s="171" t="str">
        <f>IF('2.1 Absorciones árboles'!E22=0,"",'2.1 Absorciones árboles'!E22)</f>
        <v/>
      </c>
      <c r="G26" s="178" t="str">
        <f t="shared" si="5"/>
        <v/>
      </c>
      <c r="H26" s="177" t="str">
        <f>IF('2.2 Emisiones restos corta'!I31="","",'2.2 Emisiones restos corta'!I31)</f>
        <v/>
      </c>
      <c r="I26" s="95"/>
      <c r="J26" s="94" t="str">
        <f t="shared" si="0"/>
        <v>Bb&lt;2iBf-</v>
      </c>
      <c r="K26" s="95"/>
      <c r="L26" s="94" t="str">
        <f t="shared" si="1"/>
        <v>Bb&gt;2-</v>
      </c>
      <c r="M26" s="95"/>
      <c r="N26" s="88" t="str">
        <f t="shared" si="2"/>
        <v>Bt-</v>
      </c>
      <c r="O26" s="171" t="str">
        <f>IF(I26="Vida útil corta (&lt;2 años)",((INDEX(Dades_PA!$B$45:$Y$71,(MATCH(F26,Espècies,0)),(MATCH(J26,Dades_PA!$B$44:$Y$44,0))))*H26*(Dades_PA!$B$142/100)),IF(I26="Vida útil media (&lt;10 años)",((INDEX(Dades_PA!$B$45:$Y$71,(MATCH(F26,Espècies,0)),(MATCH(J26,Dades_PA!$B$44:$Y$44,0))))*H26*(Dades_PA!$B$143/100)),IF(I26="Vida útil larga (&gt;30 años)",Dades_PA!$B$144,IF(I26="No se obtiene producto",Dades_PA!$B$145,""))))</f>
        <v/>
      </c>
      <c r="P26" s="171" t="str">
        <f>IF(K26="Vida útil corta (&lt;2 años)",((INDEX(Dades_PA!$B$45:$Y$71,(MATCH(F26,Espècies,0)),(MATCH(L26,Dades_PA!$B$44:$Y$44,0))))*H26*(Dades_PA!$B$142/100)),IF(K26="Vida útil media (&lt;10 años)",((INDEX(Dades_PA!$B$45:$Y$71,(MATCH(F26,Espècies,0)),(MATCH(L26,Dades_PA!$B$44:$Y$44,0))))*H26*(Dades_PA!$B$143/100)),IF(K26="Vida útil larga (&gt;30 años)",Dades_PA!$B$144,IF(K26="No se obtiene producto",Dades_PA!$B$145,""))))</f>
        <v/>
      </c>
      <c r="Q26" s="171" t="str">
        <f>IF(M26="Vida útil corta (&lt;2 años)",((INDEX(Dades_PA!$B$45:$Y$71,(MATCH(F26,Espècies,0)),(MATCH(N26,Dades_PA!$B$44:$Y$44,0))))*H26*(Dades_PA!$B$142/100)),IF(M26="Vida útil media (&lt;10 años)",((INDEX(Dades_PA!$B$45:$Y$71,(MATCH(F26,Espècies,0)),(MATCH(N26,Dades_PA!$B$44:$Y$44,0))))*H26*(Dades_PA!$B$143/100)),IF(M26="Vida útil larga (&gt;30 años)",Dades_PA!$B$144,IF(M26="No se obtiene producto",Dades_PA!$B$145,""))))</f>
        <v/>
      </c>
      <c r="R26" s="109" t="str">
        <f t="shared" si="3"/>
        <v/>
      </c>
    </row>
    <row r="27" spans="5:18" ht="15.75" customHeight="1" x14ac:dyDescent="0.25">
      <c r="E27" s="316"/>
      <c r="F27" s="171" t="str">
        <f>IF('2.1 Absorciones árboles'!E23=0,"",'2.1 Absorciones árboles'!E23)</f>
        <v/>
      </c>
      <c r="G27" s="178" t="str">
        <f t="shared" si="5"/>
        <v/>
      </c>
      <c r="H27" s="177" t="str">
        <f>IF('2.2 Emisiones restos corta'!I32="","",'2.2 Emisiones restos corta'!I32)</f>
        <v/>
      </c>
      <c r="I27" s="95"/>
      <c r="J27" s="94" t="str">
        <f t="shared" si="0"/>
        <v>Bb&lt;2iBf-</v>
      </c>
      <c r="K27" s="95"/>
      <c r="L27" s="94" t="str">
        <f t="shared" si="1"/>
        <v>Bb&gt;2-</v>
      </c>
      <c r="M27" s="95"/>
      <c r="N27" s="88" t="str">
        <f t="shared" si="2"/>
        <v>Bt-</v>
      </c>
      <c r="O27" s="171" t="str">
        <f>IF(I27="Vida útil corta (&lt;2 años)",((INDEX(Dades_PA!$B$45:$Y$71,(MATCH(F27,Espècies,0)),(MATCH(J27,Dades_PA!$B$44:$Y$44,0))))*H27*(Dades_PA!$B$142/100)),IF(I27="Vida útil media (&lt;10 años)",((INDEX(Dades_PA!$B$45:$Y$71,(MATCH(F27,Espècies,0)),(MATCH(J27,Dades_PA!$B$44:$Y$44,0))))*H27*(Dades_PA!$B$143/100)),IF(I27="Vida útil larga (&gt;30 años)",Dades_PA!$B$144,IF(I27="No se obtiene producto",Dades_PA!$B$145,""))))</f>
        <v/>
      </c>
      <c r="P27" s="171" t="str">
        <f>IF(K27="Vida útil corta (&lt;2 años)",((INDEX(Dades_PA!$B$45:$Y$71,(MATCH(F27,Espècies,0)),(MATCH(L27,Dades_PA!$B$44:$Y$44,0))))*H27*(Dades_PA!$B$142/100)),IF(K27="Vida útil media (&lt;10 años)",((INDEX(Dades_PA!$B$45:$Y$71,(MATCH(F27,Espècies,0)),(MATCH(L27,Dades_PA!$B$44:$Y$44,0))))*H27*(Dades_PA!$B$143/100)),IF(K27="Vida útil larga (&gt;30 años)",Dades_PA!$B$144,IF(K27="No se obtiene producto",Dades_PA!$B$145,""))))</f>
        <v/>
      </c>
      <c r="Q27" s="171" t="str">
        <f>IF(M27="Vida útil corta (&lt;2 años)",((INDEX(Dades_PA!$B$45:$Y$71,(MATCH(F27,Espècies,0)),(MATCH(N27,Dades_PA!$B$44:$Y$44,0))))*H27*(Dades_PA!$B$142/100)),IF(M27="Vida útil media (&lt;10 años)",((INDEX(Dades_PA!$B$45:$Y$71,(MATCH(F27,Espècies,0)),(MATCH(N27,Dades_PA!$B$44:$Y$44,0))))*H27*(Dades_PA!$B$143/100)),IF(M27="Vida útil larga (&gt;30 años)",Dades_PA!$B$144,IF(M27="No se obtiene producto",Dades_PA!$B$145,""))))</f>
        <v/>
      </c>
      <c r="R27" s="109" t="str">
        <f t="shared" si="3"/>
        <v/>
      </c>
    </row>
    <row r="28" spans="5:18" ht="15.75" customHeight="1" x14ac:dyDescent="0.25">
      <c r="E28" s="316"/>
      <c r="F28" s="171" t="str">
        <f>IF('2.1 Absorciones árboles'!E24=0,"",'2.1 Absorciones árboles'!E24)</f>
        <v/>
      </c>
      <c r="G28" s="178" t="str">
        <f t="shared" si="5"/>
        <v/>
      </c>
      <c r="H28" s="177" t="str">
        <f>IF('2.2 Emisiones restos corta'!I33="","",'2.2 Emisiones restos corta'!I33)</f>
        <v/>
      </c>
      <c r="I28" s="95"/>
      <c r="J28" s="94" t="str">
        <f t="shared" si="0"/>
        <v>Bb&lt;2iBf-</v>
      </c>
      <c r="K28" s="95"/>
      <c r="L28" s="94" t="str">
        <f t="shared" si="1"/>
        <v>Bb&gt;2-</v>
      </c>
      <c r="M28" s="95"/>
      <c r="N28" s="88" t="str">
        <f t="shared" si="2"/>
        <v>Bt-</v>
      </c>
      <c r="O28" s="171" t="str">
        <f>IF(I28="Vida útil corta (&lt;2 años)",((INDEX(Dades_PA!$B$45:$Y$71,(MATCH(F28,Espècies,0)),(MATCH(J28,Dades_PA!$B$44:$Y$44,0))))*H28*(Dades_PA!$B$142/100)),IF(I28="Vida útil media (&lt;10 años)",((INDEX(Dades_PA!$B$45:$Y$71,(MATCH(F28,Espècies,0)),(MATCH(J28,Dades_PA!$B$44:$Y$44,0))))*H28*(Dades_PA!$B$143/100)),IF(I28="Vida útil larga (&gt;30 años)",Dades_PA!$B$144,IF(I28="No se obtiene producto",Dades_PA!$B$145,""))))</f>
        <v/>
      </c>
      <c r="P28" s="171" t="str">
        <f>IF(K28="Vida útil corta (&lt;2 años)",((INDEX(Dades_PA!$B$45:$Y$71,(MATCH(F28,Espècies,0)),(MATCH(L28,Dades_PA!$B$44:$Y$44,0))))*H28*(Dades_PA!$B$142/100)),IF(K28="Vida útil media (&lt;10 años)",((INDEX(Dades_PA!$B$45:$Y$71,(MATCH(F28,Espècies,0)),(MATCH(L28,Dades_PA!$B$44:$Y$44,0))))*H28*(Dades_PA!$B$143/100)),IF(K28="Vida útil larga (&gt;30 años)",Dades_PA!$B$144,IF(K28="No se obtiene producto",Dades_PA!$B$145,""))))</f>
        <v/>
      </c>
      <c r="Q28" s="171" t="str">
        <f>IF(M28="Vida útil corta (&lt;2 años)",((INDEX(Dades_PA!$B$45:$Y$71,(MATCH(F28,Espècies,0)),(MATCH(N28,Dades_PA!$B$44:$Y$44,0))))*H28*(Dades_PA!$B$142/100)),IF(M28="Vida útil media (&lt;10 años)",((INDEX(Dades_PA!$B$45:$Y$71,(MATCH(F28,Espècies,0)),(MATCH(N28,Dades_PA!$B$44:$Y$44,0))))*H28*(Dades_PA!$B$143/100)),IF(M28="Vida útil larga (&gt;30 años)",Dades_PA!$B$144,IF(M28="No se obtiene producto",Dades_PA!$B$145,""))))</f>
        <v/>
      </c>
      <c r="R28" s="109" t="str">
        <f t="shared" si="3"/>
        <v/>
      </c>
    </row>
    <row r="29" spans="5:18" ht="15.75" customHeight="1" x14ac:dyDescent="0.25">
      <c r="E29" s="316"/>
      <c r="F29" s="171" t="str">
        <f>IF('2.1 Absorciones árboles'!E25=0,"",'2.1 Absorciones árboles'!E25)</f>
        <v/>
      </c>
      <c r="G29" s="178" t="str">
        <f t="shared" si="5"/>
        <v/>
      </c>
      <c r="H29" s="177" t="str">
        <f>IF('2.2 Emisiones restos corta'!I34="","",'2.2 Emisiones restos corta'!I34)</f>
        <v/>
      </c>
      <c r="I29" s="95"/>
      <c r="J29" s="94" t="str">
        <f t="shared" si="0"/>
        <v>Bb&lt;2iBf-</v>
      </c>
      <c r="K29" s="95"/>
      <c r="L29" s="94" t="str">
        <f t="shared" si="1"/>
        <v>Bb&gt;2-</v>
      </c>
      <c r="M29" s="95"/>
      <c r="N29" s="88" t="str">
        <f t="shared" si="2"/>
        <v>Bt-</v>
      </c>
      <c r="O29" s="171" t="str">
        <f>IF(I29="Vida útil corta (&lt;2 años)",((INDEX(Dades_PA!$B$45:$Y$71,(MATCH(F29,Espècies,0)),(MATCH(J29,Dades_PA!$B$44:$Y$44,0))))*H29*(Dades_PA!$B$142/100)),IF(I29="Vida útil media (&lt;10 años)",((INDEX(Dades_PA!$B$45:$Y$71,(MATCH(F29,Espècies,0)),(MATCH(J29,Dades_PA!$B$44:$Y$44,0))))*H29*(Dades_PA!$B$143/100)),IF(I29="Vida útil larga (&gt;30 años)",Dades_PA!$B$144,IF(I29="No se obtiene producto",Dades_PA!$B$145,""))))</f>
        <v/>
      </c>
      <c r="P29" s="171" t="str">
        <f>IF(K29="Vida útil corta (&lt;2 años)",((INDEX(Dades_PA!$B$45:$Y$71,(MATCH(F29,Espècies,0)),(MATCH(L29,Dades_PA!$B$44:$Y$44,0))))*H29*(Dades_PA!$B$142/100)),IF(K29="Vida útil media (&lt;10 años)",((INDEX(Dades_PA!$B$45:$Y$71,(MATCH(F29,Espècies,0)),(MATCH(L29,Dades_PA!$B$44:$Y$44,0))))*H29*(Dades_PA!$B$143/100)),IF(K29="Vida útil larga (&gt;30 años)",Dades_PA!$B$144,IF(K29="No se obtiene producto",Dades_PA!$B$145,""))))</f>
        <v/>
      </c>
      <c r="Q29" s="171" t="str">
        <f>IF(M29="Vida útil corta (&lt;2 años)",((INDEX(Dades_PA!$B$45:$Y$71,(MATCH(F29,Espècies,0)),(MATCH(N29,Dades_PA!$B$44:$Y$44,0))))*H29*(Dades_PA!$B$142/100)),IF(M29="Vida útil media (&lt;10 años)",((INDEX(Dades_PA!$B$45:$Y$71,(MATCH(F29,Espècies,0)),(MATCH(N29,Dades_PA!$B$44:$Y$44,0))))*H29*(Dades_PA!$B$143/100)),IF(M29="Vida útil larga (&gt;30 años)",Dades_PA!$B$144,IF(M29="No se obtiene producto",Dades_PA!$B$145,""))))</f>
        <v/>
      </c>
      <c r="R29" s="109" t="str">
        <f t="shared" si="3"/>
        <v/>
      </c>
    </row>
    <row r="30" spans="5:18" ht="15.75" customHeight="1" thickBot="1" x14ac:dyDescent="0.3">
      <c r="E30" s="317"/>
      <c r="F30" s="172" t="str">
        <f>IF('2.1 Absorciones árboles'!E26=0,"",'2.1 Absorciones árboles'!E26)</f>
        <v/>
      </c>
      <c r="G30" s="188" t="str">
        <f t="shared" si="5"/>
        <v/>
      </c>
      <c r="H30" s="189" t="str">
        <f>IF('2.2 Emisiones restos corta'!I35="","",'2.2 Emisiones restos corta'!I35)</f>
        <v/>
      </c>
      <c r="I30" s="97"/>
      <c r="J30" s="96" t="str">
        <f t="shared" si="0"/>
        <v>Bb&lt;2iBf-</v>
      </c>
      <c r="K30" s="97"/>
      <c r="L30" s="96" t="str">
        <f t="shared" si="1"/>
        <v>Bb&gt;2-</v>
      </c>
      <c r="M30" s="97"/>
      <c r="N30" s="92" t="str">
        <f t="shared" si="2"/>
        <v>Bt-</v>
      </c>
      <c r="O30" s="172" t="str">
        <f>IF(I30="Vida útil corta (&lt;2 años)",((INDEX(Dades_PA!$B$45:$Y$71,(MATCH(F30,Espècies,0)),(MATCH(J30,Dades_PA!$B$44:$Y$44,0))))*H30*(Dades_PA!$B$142/100)),IF(I30="Vida útil media (&lt;10 años)",((INDEX(Dades_PA!$B$45:$Y$71,(MATCH(F30,Espècies,0)),(MATCH(J30,Dades_PA!$B$44:$Y$44,0))))*H30*(Dades_PA!$B$143/100)),IF(I30="Vida útil larga (&gt;30 años)",Dades_PA!$B$144,IF(I30="No se obtiene producto",Dades_PA!$B$145,""))))</f>
        <v/>
      </c>
      <c r="P30" s="172" t="str">
        <f>IF(K30="Vida útil corta (&lt;2 años)",((INDEX(Dades_PA!$B$45:$Y$71,(MATCH(F30,Espècies,0)),(MATCH(L30,Dades_PA!$B$44:$Y$44,0))))*H30*(Dades_PA!$B$142/100)),IF(K30="Vida útil media (&lt;10 años)",((INDEX(Dades_PA!$B$45:$Y$71,(MATCH(F30,Espècies,0)),(MATCH(L30,Dades_PA!$B$44:$Y$44,0))))*H30*(Dades_PA!$B$143/100)),IF(K30="Vida útil larga (&gt;30 años)",Dades_PA!$B$144,IF(K30="No se obtiene producto",Dades_PA!$B$145,""))))</f>
        <v/>
      </c>
      <c r="Q30" s="172" t="str">
        <f>IF(M30="Vida útil corta (&lt;2 años)",((INDEX(Dades_PA!$B$45:$Y$71,(MATCH(F30,Espècies,0)),(MATCH(N30,Dades_PA!$B$44:$Y$44,0))))*H30*(Dades_PA!$B$142/100)),IF(M30="Vida útil media (&lt;10 años)",((INDEX(Dades_PA!$B$45:$Y$71,(MATCH(F30,Espècies,0)),(MATCH(N30,Dades_PA!$B$44:$Y$44,0))))*H30*(Dades_PA!$B$143/100)),IF(M30="Vida útil larga (&gt;30 años)",Dades_PA!$B$144,IF(M30="No se obtiene producto",Dades_PA!$B$145,""))))</f>
        <v/>
      </c>
      <c r="R30" s="110" t="str">
        <f t="shared" si="3"/>
        <v/>
      </c>
    </row>
    <row r="31" spans="5:18" ht="15.75" customHeight="1" x14ac:dyDescent="0.25">
      <c r="E31" s="315" t="str">
        <f>IF(('1. Datos generales del proyecto'!D33)="","",('1. Datos generales del proyecto'!D33))</f>
        <v/>
      </c>
      <c r="F31" s="170" t="str">
        <f>IF('2.1 Absorciones árboles'!E27=0,"",'2.1 Absorciones árboles'!E27)</f>
        <v/>
      </c>
      <c r="G31" s="185" t="str">
        <f>IF(('2.1 Absorciones árboles'!H27&gt;0),('2.1 Absorciones árboles'!H27),"")</f>
        <v/>
      </c>
      <c r="H31" s="186" t="str">
        <f>IF('2.2 Emisiones restos corta'!I36="","",'2.2 Emisiones restos corta'!I36)</f>
        <v/>
      </c>
      <c r="I31" s="80"/>
      <c r="J31" s="93" t="str">
        <f t="shared" si="0"/>
        <v>Bb&lt;2iBf-</v>
      </c>
      <c r="K31" s="80"/>
      <c r="L31" s="93" t="str">
        <f t="shared" si="1"/>
        <v>Bb&gt;2-</v>
      </c>
      <c r="M31" s="80"/>
      <c r="N31" s="84" t="str">
        <f t="shared" si="2"/>
        <v>Bt-</v>
      </c>
      <c r="O31" s="170" t="str">
        <f>IF(I31="Vida útil corta (&lt;2 años)",((INDEX(Dades_PA!$B$45:$Y$71,(MATCH(F31,Espècies,0)),(MATCH(J31,Dades_PA!$B$44:$Y$44,0))))*H31*(Dades_PA!$B$142/100)),IF(I31="Vida útil media (&lt;10 años)",((INDEX(Dades_PA!$B$45:$Y$71,(MATCH(F31,Espècies,0)),(MATCH(J31,Dades_PA!$B$44:$Y$44,0))))*H31*(Dades_PA!$B$143/100)),IF(I31="Vida útil larga (&gt;30 años)",Dades_PA!$B$144,IF(I31="No se obtiene producto",Dades_PA!$B$145,""))))</f>
        <v/>
      </c>
      <c r="P31" s="170" t="str">
        <f>IF(K31="Vida útil corta (&lt;2 años)",((INDEX(Dades_PA!$B$45:$Y$71,(MATCH(F31,Espècies,0)),(MATCH(L31,Dades_PA!$B$44:$Y$44,0))))*H31*(Dades_PA!$B$142/100)),IF(K31="Vida útil media (&lt;10 años)",((INDEX(Dades_PA!$B$45:$Y$71,(MATCH(F31,Espècies,0)),(MATCH(L31,Dades_PA!$B$44:$Y$44,0))))*H31*(Dades_PA!$B$143/100)),IF(K31="Vida útil larga (&gt;30 años)",Dades_PA!$B$144,IF(K31="No se obtiene producto",Dades_PA!$B$145,""))))</f>
        <v/>
      </c>
      <c r="Q31" s="170" t="str">
        <f>IF(M31="Vida útil corta (&lt;2 años)",((INDEX(Dades_PA!$B$45:$Y$71,(MATCH(F31,Espècies,0)),(MATCH(N31,Dades_PA!$B$44:$Y$44,0))))*H31*(Dades_PA!$B$142/100)),IF(M31="Vida útil media (&lt;10 años)",((INDEX(Dades_PA!$B$45:$Y$71,(MATCH(F31,Espècies,0)),(MATCH(N31,Dades_PA!$B$44:$Y$44,0))))*H31*(Dades_PA!$B$143/100)),IF(M31="Vida útil larga (&gt;30 años)",Dades_PA!$B$144,IF(M31="No se obtiene producto",Dades_PA!$B$145,""))))</f>
        <v/>
      </c>
      <c r="R31" s="108" t="str">
        <f t="shared" si="3"/>
        <v/>
      </c>
    </row>
    <row r="32" spans="5:18" ht="16.5" x14ac:dyDescent="0.25">
      <c r="E32" s="316"/>
      <c r="F32" s="171" t="str">
        <f>IF('2.1 Absorciones árboles'!E28=0,"",'2.1 Absorciones árboles'!E28)</f>
        <v/>
      </c>
      <c r="G32" s="178" t="str">
        <f>$G$31</f>
        <v/>
      </c>
      <c r="H32" s="177" t="str">
        <f>IF('2.2 Emisiones restos corta'!I37="","",'2.2 Emisiones restos corta'!I37)</f>
        <v/>
      </c>
      <c r="I32" s="95"/>
      <c r="J32" s="94" t="str">
        <f t="shared" si="0"/>
        <v>Bb&lt;2iBf-</v>
      </c>
      <c r="K32" s="95"/>
      <c r="L32" s="94" t="str">
        <f t="shared" si="1"/>
        <v>Bb&gt;2-</v>
      </c>
      <c r="M32" s="95"/>
      <c r="N32" s="88" t="str">
        <f t="shared" si="2"/>
        <v>Bt-</v>
      </c>
      <c r="O32" s="171" t="str">
        <f>IF(I32="Vida útil corta (&lt;2 años)",((INDEX(Dades_PA!$B$45:$Y$71,(MATCH(F32,Espècies,0)),(MATCH(J32,Dades_PA!$B$44:$Y$44,0))))*H32*(Dades_PA!$B$142/100)),IF(I32="Vida útil media (&lt;10 años)",((INDEX(Dades_PA!$B$45:$Y$71,(MATCH(F32,Espècies,0)),(MATCH(J32,Dades_PA!$B$44:$Y$44,0))))*H32*(Dades_PA!$B$143/100)),IF(I32="Vida útil larga (&gt;30 años)",Dades_PA!$B$144,IF(I32="No se obtiene producto",Dades_PA!$B$145,""))))</f>
        <v/>
      </c>
      <c r="P32" s="171" t="str">
        <f>IF(K32="Vida útil corta (&lt;2 años)",((INDEX(Dades_PA!$B$45:$Y$71,(MATCH(F32,Espècies,0)),(MATCH(L32,Dades_PA!$B$44:$Y$44,0))))*H32*(Dades_PA!$B$142/100)),IF(K32="Vida útil media (&lt;10 años)",((INDEX(Dades_PA!$B$45:$Y$71,(MATCH(F32,Espècies,0)),(MATCH(L32,Dades_PA!$B$44:$Y$44,0))))*H32*(Dades_PA!$B$143/100)),IF(K32="Vida útil larga (&gt;30 años)",Dades_PA!$B$144,IF(K32="No se obtiene producto",Dades_PA!$B$145,""))))</f>
        <v/>
      </c>
      <c r="Q32" s="171" t="str">
        <f>IF(M32="Vida útil corta (&lt;2 años)",((INDEX(Dades_PA!$B$45:$Y$71,(MATCH(F32,Espècies,0)),(MATCH(N32,Dades_PA!$B$44:$Y$44,0))))*H32*(Dades_PA!$B$142/100)),IF(M32="Vida útil media (&lt;10 años)",((INDEX(Dades_PA!$B$45:$Y$71,(MATCH(F32,Espècies,0)),(MATCH(N32,Dades_PA!$B$44:$Y$44,0))))*H32*(Dades_PA!$B$143/100)),IF(M32="Vida útil larga (&gt;30 años)",Dades_PA!$B$144,IF(M32="No se obtiene producto",Dades_PA!$B$145,""))))</f>
        <v/>
      </c>
      <c r="R32" s="109" t="str">
        <f t="shared" si="3"/>
        <v/>
      </c>
    </row>
    <row r="33" spans="2:21" ht="18" customHeight="1" x14ac:dyDescent="0.25">
      <c r="E33" s="316"/>
      <c r="F33" s="171" t="str">
        <f>IF('2.1 Absorciones árboles'!E29=0,"",'2.1 Absorciones árboles'!E29)</f>
        <v/>
      </c>
      <c r="G33" s="178" t="str">
        <f t="shared" ref="G33:G40" si="6">$G$31</f>
        <v/>
      </c>
      <c r="H33" s="177" t="str">
        <f>IF('2.2 Emisiones restos corta'!I38="","",'2.2 Emisiones restos corta'!I38)</f>
        <v/>
      </c>
      <c r="I33" s="95"/>
      <c r="J33" s="94" t="str">
        <f t="shared" si="0"/>
        <v>Bb&lt;2iBf-</v>
      </c>
      <c r="K33" s="95"/>
      <c r="L33" s="94" t="str">
        <f t="shared" si="1"/>
        <v>Bb&gt;2-</v>
      </c>
      <c r="M33" s="95"/>
      <c r="N33" s="88" t="str">
        <f t="shared" si="2"/>
        <v>Bt-</v>
      </c>
      <c r="O33" s="171" t="str">
        <f>IF(I33="Vida útil corta (&lt;2 años)",((INDEX(Dades_PA!$B$45:$Y$71,(MATCH(F33,Espècies,0)),(MATCH(J33,Dades_PA!$B$44:$Y$44,0))))*H33*(Dades_PA!$B$142/100)),IF(I33="Vida útil media (&lt;10 años)",((INDEX(Dades_PA!$B$45:$Y$71,(MATCH(F33,Espècies,0)),(MATCH(J33,Dades_PA!$B$44:$Y$44,0))))*H33*(Dades_PA!$B$143/100)),IF(I33="Vida útil larga (&gt;30 años)",Dades_PA!$B$144,IF(I33="No se obtiene producto",Dades_PA!$B$145,""))))</f>
        <v/>
      </c>
      <c r="P33" s="171" t="str">
        <f>IF(K33="Vida útil corta (&lt;2 años)",((INDEX(Dades_PA!$B$45:$Y$71,(MATCH(F33,Espècies,0)),(MATCH(L33,Dades_PA!$B$44:$Y$44,0))))*H33*(Dades_PA!$B$142/100)),IF(K33="Vida útil media (&lt;10 años)",((INDEX(Dades_PA!$B$45:$Y$71,(MATCH(F33,Espècies,0)),(MATCH(L33,Dades_PA!$B$44:$Y$44,0))))*H33*(Dades_PA!$B$143/100)),IF(K33="Vida útil larga (&gt;30 años)",Dades_PA!$B$144,IF(K33="No se obtiene producto",Dades_PA!$B$145,""))))</f>
        <v/>
      </c>
      <c r="Q33" s="171" t="str">
        <f>IF(M33="Vida útil corta (&lt;2 años)",((INDEX(Dades_PA!$B$45:$Y$71,(MATCH(F33,Espècies,0)),(MATCH(N33,Dades_PA!$B$44:$Y$44,0))))*H33*(Dades_PA!$B$142/100)),IF(M33="Vida útil media (&lt;10 años)",((INDEX(Dades_PA!$B$45:$Y$71,(MATCH(F33,Espècies,0)),(MATCH(N33,Dades_PA!$B$44:$Y$44,0))))*H33*(Dades_PA!$B$143/100)),IF(M33="Vida útil larga (&gt;30 años)",Dades_PA!$B$144,IF(M33="No se obtiene producto",Dades_PA!$B$145,""))))</f>
        <v/>
      </c>
      <c r="R33" s="109" t="str">
        <f t="shared" si="3"/>
        <v/>
      </c>
    </row>
    <row r="34" spans="2:21" ht="16.5" x14ac:dyDescent="0.25">
      <c r="E34" s="316"/>
      <c r="F34" s="171" t="str">
        <f>IF('2.1 Absorciones árboles'!E30=0,"",'2.1 Absorciones árboles'!E30)</f>
        <v/>
      </c>
      <c r="G34" s="178" t="str">
        <f t="shared" si="6"/>
        <v/>
      </c>
      <c r="H34" s="177" t="str">
        <f>IF('2.2 Emisiones restos corta'!I39="","",'2.2 Emisiones restos corta'!I39)</f>
        <v/>
      </c>
      <c r="I34" s="95"/>
      <c r="J34" s="94" t="str">
        <f t="shared" si="0"/>
        <v>Bb&lt;2iBf-</v>
      </c>
      <c r="K34" s="95"/>
      <c r="L34" s="94" t="str">
        <f t="shared" si="1"/>
        <v>Bb&gt;2-</v>
      </c>
      <c r="M34" s="95"/>
      <c r="N34" s="88" t="str">
        <f t="shared" si="2"/>
        <v>Bt-</v>
      </c>
      <c r="O34" s="171" t="str">
        <f>IF(I34="Vida útil corta (&lt;2 años)",((INDEX(Dades_PA!$B$45:$Y$71,(MATCH(F34,Espècies,0)),(MATCH(J34,Dades_PA!$B$44:$Y$44,0))))*H34*(Dades_PA!$B$142/100)),IF(I34="Vida útil media (&lt;10 años)",((INDEX(Dades_PA!$B$45:$Y$71,(MATCH(F34,Espècies,0)),(MATCH(J34,Dades_PA!$B$44:$Y$44,0))))*H34*(Dades_PA!$B$143/100)),IF(I34="Vida útil larga (&gt;30 años)",Dades_PA!$B$144,IF(I34="No se obtiene producto",Dades_PA!$B$145,""))))</f>
        <v/>
      </c>
      <c r="P34" s="171" t="str">
        <f>IF(K34="Vida útil corta (&lt;2 años)",((INDEX(Dades_PA!$B$45:$Y$71,(MATCH(F34,Espècies,0)),(MATCH(L34,Dades_PA!$B$44:$Y$44,0))))*H34*(Dades_PA!$B$142/100)),IF(K34="Vida útil media (&lt;10 años)",((INDEX(Dades_PA!$B$45:$Y$71,(MATCH(F34,Espècies,0)),(MATCH(L34,Dades_PA!$B$44:$Y$44,0))))*H34*(Dades_PA!$B$143/100)),IF(K34="Vida útil larga (&gt;30 años)",Dades_PA!$B$144,IF(K34="No se obtiene producto",Dades_PA!$B$145,""))))</f>
        <v/>
      </c>
      <c r="Q34" s="171" t="str">
        <f>IF(M34="Vida útil corta (&lt;2 años)",((INDEX(Dades_PA!$B$45:$Y$71,(MATCH(F34,Espècies,0)),(MATCH(N34,Dades_PA!$B$44:$Y$44,0))))*H34*(Dades_PA!$B$142/100)),IF(M34="Vida útil media (&lt;10 años)",((INDEX(Dades_PA!$B$45:$Y$71,(MATCH(F34,Espècies,0)),(MATCH(N34,Dades_PA!$B$44:$Y$44,0))))*H34*(Dades_PA!$B$143/100)),IF(M34="Vida útil larga (&gt;30 años)",Dades_PA!$B$144,IF(M34="No se obtiene producto",Dades_PA!$B$145,""))))</f>
        <v/>
      </c>
      <c r="R34" s="109" t="str">
        <f t="shared" si="3"/>
        <v/>
      </c>
    </row>
    <row r="35" spans="2:21" s="8" customFormat="1" ht="16.5" x14ac:dyDescent="0.25">
      <c r="B35" s="2"/>
      <c r="C35" s="2"/>
      <c r="D35" s="6"/>
      <c r="E35" s="316"/>
      <c r="F35" s="171" t="str">
        <f>IF('2.1 Absorciones árboles'!E31=0,"",'2.1 Absorciones árboles'!E31)</f>
        <v/>
      </c>
      <c r="G35" s="178" t="str">
        <f t="shared" si="6"/>
        <v/>
      </c>
      <c r="H35" s="177" t="str">
        <f>IF('2.2 Emisiones restos corta'!I40="","",'2.2 Emisiones restos corta'!I40)</f>
        <v/>
      </c>
      <c r="I35" s="95"/>
      <c r="J35" s="94" t="str">
        <f t="shared" si="0"/>
        <v>Bb&lt;2iBf-</v>
      </c>
      <c r="K35" s="95"/>
      <c r="L35" s="94" t="str">
        <f t="shared" si="1"/>
        <v>Bb&gt;2-</v>
      </c>
      <c r="M35" s="95"/>
      <c r="N35" s="88" t="str">
        <f t="shared" si="2"/>
        <v>Bt-</v>
      </c>
      <c r="O35" s="171" t="str">
        <f>IF(I35="Vida útil corta (&lt;2 años)",((INDEX(Dades_PA!$B$45:$Y$71,(MATCH(F35,Espècies,0)),(MATCH(J35,Dades_PA!$B$44:$Y$44,0))))*H35*(Dades_PA!$B$142/100)),IF(I35="Vida útil media (&lt;10 años)",((INDEX(Dades_PA!$B$45:$Y$71,(MATCH(F35,Espècies,0)),(MATCH(J35,Dades_PA!$B$44:$Y$44,0))))*H35*(Dades_PA!$B$143/100)),IF(I35="Vida útil larga (&gt;30 años)",Dades_PA!$B$144,IF(I35="No se obtiene producto",Dades_PA!$B$145,""))))</f>
        <v/>
      </c>
      <c r="P35" s="171" t="str">
        <f>IF(K35="Vida útil corta (&lt;2 años)",((INDEX(Dades_PA!$B$45:$Y$71,(MATCH(F35,Espècies,0)),(MATCH(L35,Dades_PA!$B$44:$Y$44,0))))*H35*(Dades_PA!$B$142/100)),IF(K35="Vida útil media (&lt;10 años)",((INDEX(Dades_PA!$B$45:$Y$71,(MATCH(F35,Espècies,0)),(MATCH(L35,Dades_PA!$B$44:$Y$44,0))))*H35*(Dades_PA!$B$143/100)),IF(K35="Vida útil larga (&gt;30 años)",Dades_PA!$B$144,IF(K35="No se obtiene producto",Dades_PA!$B$145,""))))</f>
        <v/>
      </c>
      <c r="Q35" s="171" t="str">
        <f>IF(M35="Vida útil corta (&lt;2 años)",((INDEX(Dades_PA!$B$45:$Y$71,(MATCH(F35,Espècies,0)),(MATCH(N35,Dades_PA!$B$44:$Y$44,0))))*H35*(Dades_PA!$B$142/100)),IF(M35="Vida útil media (&lt;10 años)",((INDEX(Dades_PA!$B$45:$Y$71,(MATCH(F35,Espècies,0)),(MATCH(N35,Dades_PA!$B$44:$Y$44,0))))*H35*(Dades_PA!$B$143/100)),IF(M35="Vida útil larga (&gt;30 años)",Dades_PA!$B$144,IF(M35="No se obtiene producto",Dades_PA!$B$145,""))))</f>
        <v/>
      </c>
      <c r="R35" s="109" t="str">
        <f t="shared" si="3"/>
        <v/>
      </c>
      <c r="S35" s="6"/>
      <c r="T35" s="6"/>
      <c r="U35" s="6"/>
    </row>
    <row r="36" spans="2:21" ht="15" customHeight="1" x14ac:dyDescent="0.25">
      <c r="E36" s="316"/>
      <c r="F36" s="171" t="str">
        <f>IF('2.1 Absorciones árboles'!E32=0,"",'2.1 Absorciones árboles'!E32)</f>
        <v/>
      </c>
      <c r="G36" s="178" t="str">
        <f t="shared" si="6"/>
        <v/>
      </c>
      <c r="H36" s="177" t="str">
        <f>IF('2.2 Emisiones restos corta'!I41="","",'2.2 Emisiones restos corta'!I41)</f>
        <v/>
      </c>
      <c r="I36" s="95"/>
      <c r="J36" s="94" t="str">
        <f t="shared" si="0"/>
        <v>Bb&lt;2iBf-</v>
      </c>
      <c r="K36" s="95"/>
      <c r="L36" s="94" t="str">
        <f t="shared" si="1"/>
        <v>Bb&gt;2-</v>
      </c>
      <c r="M36" s="95"/>
      <c r="N36" s="88" t="str">
        <f t="shared" si="2"/>
        <v>Bt-</v>
      </c>
      <c r="O36" s="171" t="str">
        <f>IF(I36="Vida útil corta (&lt;2 años)",((INDEX(Dades_PA!$B$45:$Y$71,(MATCH(F36,Espècies,0)),(MATCH(J36,Dades_PA!$B$44:$Y$44,0))))*H36*(Dades_PA!$B$142/100)),IF(I36="Vida útil media (&lt;10 años)",((INDEX(Dades_PA!$B$45:$Y$71,(MATCH(F36,Espècies,0)),(MATCH(J36,Dades_PA!$B$44:$Y$44,0))))*H36*(Dades_PA!$B$143/100)),IF(I36="Vida útil larga (&gt;30 años)",Dades_PA!$B$144,IF(I36="No se obtiene producto",Dades_PA!$B$145,""))))</f>
        <v/>
      </c>
      <c r="P36" s="171" t="str">
        <f>IF(K36="Vida útil corta (&lt;2 años)",((INDEX(Dades_PA!$B$45:$Y$71,(MATCH(F36,Espècies,0)),(MATCH(L36,Dades_PA!$B$44:$Y$44,0))))*H36*(Dades_PA!$B$142/100)),IF(K36="Vida útil media (&lt;10 años)",((INDEX(Dades_PA!$B$45:$Y$71,(MATCH(F36,Espècies,0)),(MATCH(L36,Dades_PA!$B$44:$Y$44,0))))*H36*(Dades_PA!$B$143/100)),IF(K36="Vida útil larga (&gt;30 años)",Dades_PA!$B$144,IF(K36="No se obtiene producto",Dades_PA!$B$145,""))))</f>
        <v/>
      </c>
      <c r="Q36" s="171" t="str">
        <f>IF(M36="Vida útil corta (&lt;2 años)",((INDEX(Dades_PA!$B$45:$Y$71,(MATCH(F36,Espècies,0)),(MATCH(N36,Dades_PA!$B$44:$Y$44,0))))*H36*(Dades_PA!$B$142/100)),IF(M36="Vida útil media (&lt;10 años)",((INDEX(Dades_PA!$B$45:$Y$71,(MATCH(F36,Espècies,0)),(MATCH(N36,Dades_PA!$B$44:$Y$44,0))))*H36*(Dades_PA!$B$143/100)),IF(M36="Vida útil larga (&gt;30 años)",Dades_PA!$B$144,IF(M36="No se obtiene producto",Dades_PA!$B$145,""))))</f>
        <v/>
      </c>
      <c r="R36" s="109" t="str">
        <f t="shared" si="3"/>
        <v/>
      </c>
    </row>
    <row r="37" spans="2:21" ht="16.5" x14ac:dyDescent="0.25">
      <c r="E37" s="316"/>
      <c r="F37" s="171" t="str">
        <f>IF('2.1 Absorciones árboles'!E33=0,"",'2.1 Absorciones árboles'!E33)</f>
        <v/>
      </c>
      <c r="G37" s="178" t="str">
        <f t="shared" si="6"/>
        <v/>
      </c>
      <c r="H37" s="177" t="str">
        <f>IF('2.2 Emisiones restos corta'!I42="","",'2.2 Emisiones restos corta'!I42)</f>
        <v/>
      </c>
      <c r="I37" s="95"/>
      <c r="J37" s="94" t="str">
        <f t="shared" si="0"/>
        <v>Bb&lt;2iBf-</v>
      </c>
      <c r="K37" s="95"/>
      <c r="L37" s="94" t="str">
        <f t="shared" si="1"/>
        <v>Bb&gt;2-</v>
      </c>
      <c r="M37" s="95"/>
      <c r="N37" s="88" t="str">
        <f t="shared" si="2"/>
        <v>Bt-</v>
      </c>
      <c r="O37" s="171" t="str">
        <f>IF(I37="Vida útil corta (&lt;2 años)",((INDEX(Dades_PA!$B$45:$Y$71,(MATCH(F37,Espècies,0)),(MATCH(J37,Dades_PA!$B$44:$Y$44,0))))*H37*(Dades_PA!$B$142/100)),IF(I37="Vida útil media (&lt;10 años)",((INDEX(Dades_PA!$B$45:$Y$71,(MATCH(F37,Espècies,0)),(MATCH(J37,Dades_PA!$B$44:$Y$44,0))))*H37*(Dades_PA!$B$143/100)),IF(I37="Vida útil larga (&gt;30 años)",Dades_PA!$B$144,IF(I37="No se obtiene producto",Dades_PA!$B$145,""))))</f>
        <v/>
      </c>
      <c r="P37" s="171" t="str">
        <f>IF(K37="Vida útil corta (&lt;2 años)",((INDEX(Dades_PA!$B$45:$Y$71,(MATCH(F37,Espècies,0)),(MATCH(L37,Dades_PA!$B$44:$Y$44,0))))*H37*(Dades_PA!$B$142/100)),IF(K37="Vida útil media (&lt;10 años)",((INDEX(Dades_PA!$B$45:$Y$71,(MATCH(F37,Espècies,0)),(MATCH(L37,Dades_PA!$B$44:$Y$44,0))))*H37*(Dades_PA!$B$143/100)),IF(K37="Vida útil larga (&gt;30 años)",Dades_PA!$B$144,IF(K37="No se obtiene producto",Dades_PA!$B$145,""))))</f>
        <v/>
      </c>
      <c r="Q37" s="171" t="str">
        <f>IF(M37="Vida útil corta (&lt;2 años)",((INDEX(Dades_PA!$B$45:$Y$71,(MATCH(F37,Espècies,0)),(MATCH(N37,Dades_PA!$B$44:$Y$44,0))))*H37*(Dades_PA!$B$142/100)),IF(M37="Vida útil media (&lt;10 años)",((INDEX(Dades_PA!$B$45:$Y$71,(MATCH(F37,Espècies,0)),(MATCH(N37,Dades_PA!$B$44:$Y$44,0))))*H37*(Dades_PA!$B$143/100)),IF(M37="Vida útil larga (&gt;30 años)",Dades_PA!$B$144,IF(M37="No se obtiene producto",Dades_PA!$B$145,""))))</f>
        <v/>
      </c>
      <c r="R37" s="109" t="str">
        <f t="shared" si="3"/>
        <v/>
      </c>
    </row>
    <row r="38" spans="2:21" ht="16.5" x14ac:dyDescent="0.25">
      <c r="E38" s="316"/>
      <c r="F38" s="171" t="str">
        <f>IF('2.1 Absorciones árboles'!E34=0,"",'2.1 Absorciones árboles'!E34)</f>
        <v/>
      </c>
      <c r="G38" s="178" t="str">
        <f t="shared" si="6"/>
        <v/>
      </c>
      <c r="H38" s="177" t="str">
        <f>IF('2.2 Emisiones restos corta'!I43="","",'2.2 Emisiones restos corta'!I43)</f>
        <v/>
      </c>
      <c r="I38" s="95"/>
      <c r="J38" s="94" t="str">
        <f t="shared" si="0"/>
        <v>Bb&lt;2iBf-</v>
      </c>
      <c r="K38" s="95"/>
      <c r="L38" s="94" t="str">
        <f t="shared" si="1"/>
        <v>Bb&gt;2-</v>
      </c>
      <c r="M38" s="95"/>
      <c r="N38" s="88" t="str">
        <f t="shared" si="2"/>
        <v>Bt-</v>
      </c>
      <c r="O38" s="171" t="str">
        <f>IF(I38="Vida útil corta (&lt;2 años)",((INDEX(Dades_PA!$B$45:$Y$71,(MATCH(F38,Espècies,0)),(MATCH(J38,Dades_PA!$B$44:$Y$44,0))))*H38*(Dades_PA!$B$142/100)),IF(I38="Vida útil media (&lt;10 años)",((INDEX(Dades_PA!$B$45:$Y$71,(MATCH(F38,Espècies,0)),(MATCH(J38,Dades_PA!$B$44:$Y$44,0))))*H38*(Dades_PA!$B$143/100)),IF(I38="Vida útil larga (&gt;30 años)",Dades_PA!$B$144,IF(I38="No se obtiene producto",Dades_PA!$B$145,""))))</f>
        <v/>
      </c>
      <c r="P38" s="171" t="str">
        <f>IF(K38="Vida útil corta (&lt;2 años)",((INDEX(Dades_PA!$B$45:$Y$71,(MATCH(F38,Espècies,0)),(MATCH(L38,Dades_PA!$B$44:$Y$44,0))))*H38*(Dades_PA!$B$142/100)),IF(K38="Vida útil media (&lt;10 años)",((INDEX(Dades_PA!$B$45:$Y$71,(MATCH(F38,Espècies,0)),(MATCH(L38,Dades_PA!$B$44:$Y$44,0))))*H38*(Dades_PA!$B$143/100)),IF(K38="Vida útil larga (&gt;30 años)",Dades_PA!$B$144,IF(K38="No se obtiene producto",Dades_PA!$B$145,""))))</f>
        <v/>
      </c>
      <c r="Q38" s="171" t="str">
        <f>IF(M38="Vida útil corta (&lt;2 años)",((INDEX(Dades_PA!$B$45:$Y$71,(MATCH(F38,Espècies,0)),(MATCH(N38,Dades_PA!$B$44:$Y$44,0))))*H38*(Dades_PA!$B$142/100)),IF(M38="Vida útil media (&lt;10 años)",((INDEX(Dades_PA!$B$45:$Y$71,(MATCH(F38,Espècies,0)),(MATCH(N38,Dades_PA!$B$44:$Y$44,0))))*H38*(Dades_PA!$B$143/100)),IF(M38="Vida útil larga (&gt;30 años)",Dades_PA!$B$144,IF(M38="No se obtiene producto",Dades_PA!$B$145,""))))</f>
        <v/>
      </c>
      <c r="R38" s="109" t="str">
        <f t="shared" si="3"/>
        <v/>
      </c>
    </row>
    <row r="39" spans="2:21" ht="15" customHeight="1" x14ac:dyDescent="0.25">
      <c r="E39" s="316"/>
      <c r="F39" s="171" t="str">
        <f>IF('2.1 Absorciones árboles'!E35=0,"",'2.1 Absorciones árboles'!E35)</f>
        <v/>
      </c>
      <c r="G39" s="178" t="str">
        <f t="shared" si="6"/>
        <v/>
      </c>
      <c r="H39" s="177" t="str">
        <f>IF('2.2 Emisiones restos corta'!I44="","",'2.2 Emisiones restos corta'!I44)</f>
        <v/>
      </c>
      <c r="I39" s="95"/>
      <c r="J39" s="94" t="str">
        <f t="shared" si="0"/>
        <v>Bb&lt;2iBf-</v>
      </c>
      <c r="K39" s="95"/>
      <c r="L39" s="94" t="str">
        <f t="shared" si="1"/>
        <v>Bb&gt;2-</v>
      </c>
      <c r="M39" s="95"/>
      <c r="N39" s="88" t="str">
        <f t="shared" si="2"/>
        <v>Bt-</v>
      </c>
      <c r="O39" s="171" t="str">
        <f>IF(I39="Vida útil corta (&lt;2 años)",((INDEX(Dades_PA!$B$45:$Y$71,(MATCH(F39,Espècies,0)),(MATCH(J39,Dades_PA!$B$44:$Y$44,0))))*H39*(Dades_PA!$B$142/100)),IF(I39="Vida útil media (&lt;10 años)",((INDEX(Dades_PA!$B$45:$Y$71,(MATCH(F39,Espècies,0)),(MATCH(J39,Dades_PA!$B$44:$Y$44,0))))*H39*(Dades_PA!$B$143/100)),IF(I39="Vida útil larga (&gt;30 años)",Dades_PA!$B$144,IF(I39="No se obtiene producto",Dades_PA!$B$145,""))))</f>
        <v/>
      </c>
      <c r="P39" s="171" t="str">
        <f>IF(K39="Vida útil corta (&lt;2 años)",((INDEX(Dades_PA!$B$45:$Y$71,(MATCH(F39,Espècies,0)),(MATCH(L39,Dades_PA!$B$44:$Y$44,0))))*H39*(Dades_PA!$B$142/100)),IF(K39="Vida útil media (&lt;10 años)",((INDEX(Dades_PA!$B$45:$Y$71,(MATCH(F39,Espècies,0)),(MATCH(L39,Dades_PA!$B$44:$Y$44,0))))*H39*(Dades_PA!$B$143/100)),IF(K39="Vida útil larga (&gt;30 años)",Dades_PA!$B$144,IF(K39="No se obtiene producto",Dades_PA!$B$145,""))))</f>
        <v/>
      </c>
      <c r="Q39" s="171" t="str">
        <f>IF(M39="Vida útil corta (&lt;2 años)",((INDEX(Dades_PA!$B$45:$Y$71,(MATCH(F39,Espècies,0)),(MATCH(N39,Dades_PA!$B$44:$Y$44,0))))*H39*(Dades_PA!$B$142/100)),IF(M39="Vida útil media (&lt;10 años)",((INDEX(Dades_PA!$B$45:$Y$71,(MATCH(F39,Espècies,0)),(MATCH(N39,Dades_PA!$B$44:$Y$44,0))))*H39*(Dades_PA!$B$143/100)),IF(M39="Vida útil larga (&gt;30 años)",Dades_PA!$B$144,IF(M39="No se obtiene producto",Dades_PA!$B$145,""))))</f>
        <v/>
      </c>
      <c r="R39" s="109" t="str">
        <f t="shared" si="3"/>
        <v/>
      </c>
    </row>
    <row r="40" spans="2:21" ht="16.5" customHeight="1" thickBot="1" x14ac:dyDescent="0.3">
      <c r="E40" s="317"/>
      <c r="F40" s="172" t="str">
        <f>IF('2.1 Absorciones árboles'!E36=0,"",'2.1 Absorciones árboles'!E36)</f>
        <v/>
      </c>
      <c r="G40" s="188" t="str">
        <f t="shared" si="6"/>
        <v/>
      </c>
      <c r="H40" s="189" t="str">
        <f>IF('2.2 Emisiones restos corta'!I45="","",'2.2 Emisiones restos corta'!I45)</f>
        <v/>
      </c>
      <c r="I40" s="97"/>
      <c r="J40" s="96" t="str">
        <f t="shared" si="0"/>
        <v>Bb&lt;2iBf-</v>
      </c>
      <c r="K40" s="97"/>
      <c r="L40" s="96" t="str">
        <f t="shared" si="1"/>
        <v>Bb&gt;2-</v>
      </c>
      <c r="M40" s="97"/>
      <c r="N40" s="92" t="str">
        <f t="shared" si="2"/>
        <v>Bt-</v>
      </c>
      <c r="O40" s="172" t="str">
        <f>IF(I40="Vida útil corta (&lt;2 años)",((INDEX(Dades_PA!$B$45:$Y$71,(MATCH(F40,Espècies,0)),(MATCH(J40,Dades_PA!$B$44:$Y$44,0))))*H40*(Dades_PA!$B$142/100)),IF(I40="Vida útil media (&lt;10 años)",((INDEX(Dades_PA!$B$45:$Y$71,(MATCH(F40,Espècies,0)),(MATCH(J40,Dades_PA!$B$44:$Y$44,0))))*H40*(Dades_PA!$B$143/100)),IF(I40="Vida útil larga (&gt;30 años)",Dades_PA!$B$144,IF(I40="No se obtiene producto",Dades_PA!$B$145,""))))</f>
        <v/>
      </c>
      <c r="P40" s="172" t="str">
        <f>IF(K40="Vida útil corta (&lt;2 años)",((INDEX(Dades_PA!$B$45:$Y$71,(MATCH(F40,Espècies,0)),(MATCH(L40,Dades_PA!$B$44:$Y$44,0))))*H40*(Dades_PA!$B$142/100)),IF(K40="Vida útil media (&lt;10 años)",((INDEX(Dades_PA!$B$45:$Y$71,(MATCH(F40,Espècies,0)),(MATCH(L40,Dades_PA!$B$44:$Y$44,0))))*H40*(Dades_PA!$B$143/100)),IF(K40="Vida útil larga (&gt;30 años)",Dades_PA!$B$144,IF(K40="No se obtiene producto",Dades_PA!$B$145,""))))</f>
        <v/>
      </c>
      <c r="Q40" s="172" t="str">
        <f>IF(M40="Vida útil corta (&lt;2 años)",((INDEX(Dades_PA!$B$45:$Y$71,(MATCH(F40,Espècies,0)),(MATCH(N40,Dades_PA!$B$44:$Y$44,0))))*H40*(Dades_PA!$B$142/100)),IF(M40="Vida útil media (&lt;10 años)",((INDEX(Dades_PA!$B$45:$Y$71,(MATCH(F40,Espècies,0)),(MATCH(N40,Dades_PA!$B$44:$Y$44,0))))*H40*(Dades_PA!$B$143/100)),IF(M40="Vida útil larga (&gt;30 años)",Dades_PA!$B$144,IF(M40="No se obtiene producto",Dades_PA!$B$145,""))))</f>
        <v/>
      </c>
      <c r="R40" s="110" t="str">
        <f t="shared" si="3"/>
        <v/>
      </c>
    </row>
    <row r="41" spans="2:21" ht="16.5" customHeight="1" x14ac:dyDescent="0.25">
      <c r="E41" s="315" t="str">
        <f>IF(('1. Datos generales del proyecto'!D34)="","",('1. Datos generales del proyecto'!D34))</f>
        <v/>
      </c>
      <c r="F41" s="170" t="str">
        <f>IF('2.1 Absorciones árboles'!E37=0,"",'2.1 Absorciones árboles'!E37)</f>
        <v/>
      </c>
      <c r="G41" s="185" t="str">
        <f>IF(('2.1 Absorciones árboles'!H37&gt;0),('2.1 Absorciones árboles'!H37),"")</f>
        <v/>
      </c>
      <c r="H41" s="186" t="str">
        <f>IF('2.2 Emisiones restos corta'!I46="","",'2.2 Emisiones restos corta'!I46)</f>
        <v/>
      </c>
      <c r="I41" s="80"/>
      <c r="J41" s="93" t="str">
        <f t="shared" si="0"/>
        <v>Bb&lt;2iBf-</v>
      </c>
      <c r="K41" s="80"/>
      <c r="L41" s="93" t="str">
        <f t="shared" si="1"/>
        <v>Bb&gt;2-</v>
      </c>
      <c r="M41" s="80"/>
      <c r="N41" s="84" t="str">
        <f t="shared" si="2"/>
        <v>Bt-</v>
      </c>
      <c r="O41" s="170" t="str">
        <f>IF(I41="Vida útil corta (&lt;2 años)",((INDEX(Dades_PA!$B$45:$Y$71,(MATCH(F41,Espècies,0)),(MATCH(J41,Dades_PA!$B$44:$Y$44,0))))*H41*(Dades_PA!$B$142/100)),IF(I41="Vida útil media (&lt;10 años)",((INDEX(Dades_PA!$B$45:$Y$71,(MATCH(F41,Espècies,0)),(MATCH(J41,Dades_PA!$B$44:$Y$44,0))))*H41*(Dades_PA!$B$143/100)),IF(I41="Vida útil larga (&gt;30 años)",Dades_PA!$B$144,IF(I41="No se obtiene producto",Dades_PA!$B$145,""))))</f>
        <v/>
      </c>
      <c r="P41" s="170" t="str">
        <f>IF(K41="Vida útil corta (&lt;2 años)",((INDEX(Dades_PA!$B$45:$Y$71,(MATCH(F41,Espècies,0)),(MATCH(L41,Dades_PA!$B$44:$Y$44,0))))*H41*(Dades_PA!$B$142/100)),IF(K41="Vida útil media (&lt;10 años)",((INDEX(Dades_PA!$B$45:$Y$71,(MATCH(F41,Espècies,0)),(MATCH(L41,Dades_PA!$B$44:$Y$44,0))))*H41*(Dades_PA!$B$143/100)),IF(K41="Vida útil larga (&gt;30 años)",Dades_PA!$B$144,IF(K41="No se obtiene producto",Dades_PA!$B$145,""))))</f>
        <v/>
      </c>
      <c r="Q41" s="170" t="str">
        <f>IF(M41="Vida útil corta (&lt;2 años)",((INDEX(Dades_PA!$B$45:$Y$71,(MATCH(F41,Espècies,0)),(MATCH(N41,Dades_PA!$B$44:$Y$44,0))))*H41*(Dades_PA!$B$142/100)),IF(M41="Vida útil media (&lt;10 años)",((INDEX(Dades_PA!$B$45:$Y$71,(MATCH(F41,Espècies,0)),(MATCH(N41,Dades_PA!$B$44:$Y$44,0))))*H41*(Dades_PA!$B$143/100)),IF(M41="Vida útil larga (&gt;30 años)",Dades_PA!$B$144,IF(M41="No se obtiene producto",Dades_PA!$B$145,""))))</f>
        <v/>
      </c>
      <c r="R41" s="108" t="str">
        <f t="shared" si="3"/>
        <v/>
      </c>
    </row>
    <row r="42" spans="2:21" ht="16.5" customHeight="1" x14ac:dyDescent="0.25">
      <c r="E42" s="316"/>
      <c r="F42" s="171" t="str">
        <f>IF('2.1 Absorciones árboles'!E38=0,"",'2.1 Absorciones árboles'!E38)</f>
        <v/>
      </c>
      <c r="G42" s="178" t="str">
        <f>$G$41</f>
        <v/>
      </c>
      <c r="H42" s="177" t="str">
        <f>IF('2.2 Emisiones restos corta'!I47="","",'2.2 Emisiones restos corta'!I47)</f>
        <v/>
      </c>
      <c r="I42" s="95"/>
      <c r="J42" s="94" t="str">
        <f t="shared" si="0"/>
        <v>Bb&lt;2iBf-</v>
      </c>
      <c r="K42" s="95"/>
      <c r="L42" s="94" t="str">
        <f t="shared" si="1"/>
        <v>Bb&gt;2-</v>
      </c>
      <c r="M42" s="95"/>
      <c r="N42" s="88" t="str">
        <f t="shared" si="2"/>
        <v>Bt-</v>
      </c>
      <c r="O42" s="171" t="str">
        <f>IF(I42="Vida útil corta (&lt;2 años)",((INDEX(Dades_PA!$B$45:$Y$71,(MATCH(F42,Espècies,0)),(MATCH(J42,Dades_PA!$B$44:$Y$44,0))))*H42*(Dades_PA!$B$142/100)),IF(I42="Vida útil media (&lt;10 años)",((INDEX(Dades_PA!$B$45:$Y$71,(MATCH(F42,Espècies,0)),(MATCH(J42,Dades_PA!$B$44:$Y$44,0))))*H42*(Dades_PA!$B$143/100)),IF(I42="Vida útil larga (&gt;30 años)",Dades_PA!$B$144,IF(I42="No se obtiene producto",Dades_PA!$B$145,""))))</f>
        <v/>
      </c>
      <c r="P42" s="171" t="str">
        <f>IF(K42="Vida útil corta (&lt;2 años)",((INDEX(Dades_PA!$B$45:$Y$71,(MATCH(F42,Espècies,0)),(MATCH(L42,Dades_PA!$B$44:$Y$44,0))))*H42*(Dades_PA!$B$142/100)),IF(K42="Vida útil media (&lt;10 años)",((INDEX(Dades_PA!$B$45:$Y$71,(MATCH(F42,Espècies,0)),(MATCH(L42,Dades_PA!$B$44:$Y$44,0))))*H42*(Dades_PA!$B$143/100)),IF(K42="Vida útil larga (&gt;30 años)",Dades_PA!$B$144,IF(K42="No se obtiene producto",Dades_PA!$B$145,""))))</f>
        <v/>
      </c>
      <c r="Q42" s="171" t="str">
        <f>IF(M42="Vida útil corta (&lt;2 años)",((INDEX(Dades_PA!$B$45:$Y$71,(MATCH(F42,Espècies,0)),(MATCH(N42,Dades_PA!$B$44:$Y$44,0))))*H42*(Dades_PA!$B$142/100)),IF(M42="Vida útil media (&lt;10 años)",((INDEX(Dades_PA!$B$45:$Y$71,(MATCH(F42,Espècies,0)),(MATCH(N42,Dades_PA!$B$44:$Y$44,0))))*H42*(Dades_PA!$B$143/100)),IF(M42="Vida útil larga (&gt;30 años)",Dades_PA!$B$144,IF(M42="No se obtiene producto",Dades_PA!$B$145,""))))</f>
        <v/>
      </c>
      <c r="R42" s="109" t="str">
        <f t="shared" si="3"/>
        <v/>
      </c>
    </row>
    <row r="43" spans="2:21" ht="16.5" customHeight="1" x14ac:dyDescent="0.25">
      <c r="E43" s="316"/>
      <c r="F43" s="171" t="str">
        <f>IF('2.1 Absorciones árboles'!E39=0,"",'2.1 Absorciones árboles'!E39)</f>
        <v/>
      </c>
      <c r="G43" s="178" t="str">
        <f t="shared" ref="G43:G50" si="7">$G$41</f>
        <v/>
      </c>
      <c r="H43" s="177" t="str">
        <f>IF('2.2 Emisiones restos corta'!I48="","",'2.2 Emisiones restos corta'!I48)</f>
        <v/>
      </c>
      <c r="I43" s="95"/>
      <c r="J43" s="94" t="str">
        <f t="shared" si="0"/>
        <v>Bb&lt;2iBf-</v>
      </c>
      <c r="K43" s="95"/>
      <c r="L43" s="94" t="str">
        <f t="shared" si="1"/>
        <v>Bb&gt;2-</v>
      </c>
      <c r="M43" s="95"/>
      <c r="N43" s="88" t="str">
        <f t="shared" si="2"/>
        <v>Bt-</v>
      </c>
      <c r="O43" s="171" t="str">
        <f>IF(I43="Vida útil corta (&lt;2 años)",((INDEX(Dades_PA!$B$45:$Y$71,(MATCH(F43,Espècies,0)),(MATCH(J43,Dades_PA!$B$44:$Y$44,0))))*H43*(Dades_PA!$B$142/100)),IF(I43="Vida útil media (&lt;10 años)",((INDEX(Dades_PA!$B$45:$Y$71,(MATCH(F43,Espècies,0)),(MATCH(J43,Dades_PA!$B$44:$Y$44,0))))*H43*(Dades_PA!$B$143/100)),IF(I43="Vida útil larga (&gt;30 años)",Dades_PA!$B$144,IF(I43="No se obtiene producto",Dades_PA!$B$145,""))))</f>
        <v/>
      </c>
      <c r="P43" s="171" t="str">
        <f>IF(K43="Vida útil corta (&lt;2 años)",((INDEX(Dades_PA!$B$45:$Y$71,(MATCH(F43,Espècies,0)),(MATCH(L43,Dades_PA!$B$44:$Y$44,0))))*H43*(Dades_PA!$B$142/100)),IF(K43="Vida útil media (&lt;10 años)",((INDEX(Dades_PA!$B$45:$Y$71,(MATCH(F43,Espècies,0)),(MATCH(L43,Dades_PA!$B$44:$Y$44,0))))*H43*(Dades_PA!$B$143/100)),IF(K43="Vida útil larga (&gt;30 años)",Dades_PA!$B$144,IF(K43="No se obtiene producto",Dades_PA!$B$145,""))))</f>
        <v/>
      </c>
      <c r="Q43" s="171" t="str">
        <f>IF(M43="Vida útil corta (&lt;2 años)",((INDEX(Dades_PA!$B$45:$Y$71,(MATCH(F43,Espècies,0)),(MATCH(N43,Dades_PA!$B$44:$Y$44,0))))*H43*(Dades_PA!$B$142/100)),IF(M43="Vida útil media (&lt;10 años)",((INDEX(Dades_PA!$B$45:$Y$71,(MATCH(F43,Espècies,0)),(MATCH(N43,Dades_PA!$B$44:$Y$44,0))))*H43*(Dades_PA!$B$143/100)),IF(M43="Vida útil larga (&gt;30 años)",Dades_PA!$B$144,IF(M43="No se obtiene producto",Dades_PA!$B$145,""))))</f>
        <v/>
      </c>
      <c r="R43" s="109" t="str">
        <f t="shared" si="3"/>
        <v/>
      </c>
    </row>
    <row r="44" spans="2:21" ht="16.5" customHeight="1" x14ac:dyDescent="0.25">
      <c r="E44" s="316"/>
      <c r="F44" s="171" t="str">
        <f>IF('2.1 Absorciones árboles'!E40=0,"",'2.1 Absorciones árboles'!E40)</f>
        <v/>
      </c>
      <c r="G44" s="178" t="str">
        <f t="shared" si="7"/>
        <v/>
      </c>
      <c r="H44" s="177" t="str">
        <f>IF('2.2 Emisiones restos corta'!I49="","",'2.2 Emisiones restos corta'!I49)</f>
        <v/>
      </c>
      <c r="I44" s="95"/>
      <c r="J44" s="94" t="str">
        <f t="shared" si="0"/>
        <v>Bb&lt;2iBf-</v>
      </c>
      <c r="K44" s="95"/>
      <c r="L44" s="94" t="str">
        <f t="shared" si="1"/>
        <v>Bb&gt;2-</v>
      </c>
      <c r="M44" s="95"/>
      <c r="N44" s="88" t="str">
        <f t="shared" si="2"/>
        <v>Bt-</v>
      </c>
      <c r="O44" s="171" t="str">
        <f>IF(I44="Vida útil corta (&lt;2 años)",((INDEX(Dades_PA!$B$45:$Y$71,(MATCH(F44,Espècies,0)),(MATCH(J44,Dades_PA!$B$44:$Y$44,0))))*H44*(Dades_PA!$B$142/100)),IF(I44="Vida útil media (&lt;10 años)",((INDEX(Dades_PA!$B$45:$Y$71,(MATCH(F44,Espècies,0)),(MATCH(J44,Dades_PA!$B$44:$Y$44,0))))*H44*(Dades_PA!$B$143/100)),IF(I44="Vida útil larga (&gt;30 años)",Dades_PA!$B$144,IF(I44="No se obtiene producto",Dades_PA!$B$145,""))))</f>
        <v/>
      </c>
      <c r="P44" s="171" t="str">
        <f>IF(K44="Vida útil corta (&lt;2 años)",((INDEX(Dades_PA!$B$45:$Y$71,(MATCH(F44,Espècies,0)),(MATCH(L44,Dades_PA!$B$44:$Y$44,0))))*H44*(Dades_PA!$B$142/100)),IF(K44="Vida útil media (&lt;10 años)",((INDEX(Dades_PA!$B$45:$Y$71,(MATCH(F44,Espècies,0)),(MATCH(L44,Dades_PA!$B$44:$Y$44,0))))*H44*(Dades_PA!$B$143/100)),IF(K44="Vida útil larga (&gt;30 años)",Dades_PA!$B$144,IF(K44="No se obtiene producto",Dades_PA!$B$145,""))))</f>
        <v/>
      </c>
      <c r="Q44" s="171" t="str">
        <f>IF(M44="Vida útil corta (&lt;2 años)",((INDEX(Dades_PA!$B$45:$Y$71,(MATCH(F44,Espècies,0)),(MATCH(N44,Dades_PA!$B$44:$Y$44,0))))*H44*(Dades_PA!$B$142/100)),IF(M44="Vida útil media (&lt;10 años)",((INDEX(Dades_PA!$B$45:$Y$71,(MATCH(F44,Espècies,0)),(MATCH(N44,Dades_PA!$B$44:$Y$44,0))))*H44*(Dades_PA!$B$143/100)),IF(M44="Vida útil larga (&gt;30 años)",Dades_PA!$B$144,IF(M44="No se obtiene producto",Dades_PA!$B$145,""))))</f>
        <v/>
      </c>
      <c r="R44" s="109" t="str">
        <f t="shared" si="3"/>
        <v/>
      </c>
    </row>
    <row r="45" spans="2:21" ht="16.5" customHeight="1" x14ac:dyDescent="0.25">
      <c r="E45" s="316"/>
      <c r="F45" s="171" t="str">
        <f>IF('2.1 Absorciones árboles'!E41=0,"",'2.1 Absorciones árboles'!E41)</f>
        <v/>
      </c>
      <c r="G45" s="178" t="str">
        <f t="shared" si="7"/>
        <v/>
      </c>
      <c r="H45" s="177" t="str">
        <f>IF('2.2 Emisiones restos corta'!I50="","",'2.2 Emisiones restos corta'!I50)</f>
        <v/>
      </c>
      <c r="I45" s="95"/>
      <c r="J45" s="94" t="str">
        <f t="shared" si="0"/>
        <v>Bb&lt;2iBf-</v>
      </c>
      <c r="K45" s="95"/>
      <c r="L45" s="94" t="str">
        <f t="shared" si="1"/>
        <v>Bb&gt;2-</v>
      </c>
      <c r="M45" s="95"/>
      <c r="N45" s="88" t="str">
        <f t="shared" si="2"/>
        <v>Bt-</v>
      </c>
      <c r="O45" s="171" t="str">
        <f>IF(I45="Vida útil corta (&lt;2 años)",((INDEX(Dades_PA!$B$45:$Y$71,(MATCH(F45,Espècies,0)),(MATCH(J45,Dades_PA!$B$44:$Y$44,0))))*H45*(Dades_PA!$B$142/100)),IF(I45="Vida útil media (&lt;10 años)",((INDEX(Dades_PA!$B$45:$Y$71,(MATCH(F45,Espècies,0)),(MATCH(J45,Dades_PA!$B$44:$Y$44,0))))*H45*(Dades_PA!$B$143/100)),IF(I45="Vida útil larga (&gt;30 años)",Dades_PA!$B$144,IF(I45="No se obtiene producto",Dades_PA!$B$145,""))))</f>
        <v/>
      </c>
      <c r="P45" s="171" t="str">
        <f>IF(K45="Vida útil corta (&lt;2 años)",((INDEX(Dades_PA!$B$45:$Y$71,(MATCH(F45,Espècies,0)),(MATCH(L45,Dades_PA!$B$44:$Y$44,0))))*H45*(Dades_PA!$B$142/100)),IF(K45="Vida útil media (&lt;10 años)",((INDEX(Dades_PA!$B$45:$Y$71,(MATCH(F45,Espècies,0)),(MATCH(L45,Dades_PA!$B$44:$Y$44,0))))*H45*(Dades_PA!$B$143/100)),IF(K45="Vida útil larga (&gt;30 años)",Dades_PA!$B$144,IF(K45="No se obtiene producto",Dades_PA!$B$145,""))))</f>
        <v/>
      </c>
      <c r="Q45" s="171" t="str">
        <f>IF(M45="Vida útil corta (&lt;2 años)",((INDEX(Dades_PA!$B$45:$Y$71,(MATCH(F45,Espècies,0)),(MATCH(N45,Dades_PA!$B$44:$Y$44,0))))*H45*(Dades_PA!$B$142/100)),IF(M45="Vida útil media (&lt;10 años)",((INDEX(Dades_PA!$B$45:$Y$71,(MATCH(F45,Espècies,0)),(MATCH(N45,Dades_PA!$B$44:$Y$44,0))))*H45*(Dades_PA!$B$143/100)),IF(M45="Vida útil larga (&gt;30 años)",Dades_PA!$B$144,IF(M45="No se obtiene producto",Dades_PA!$B$145,""))))</f>
        <v/>
      </c>
      <c r="R45" s="109" t="str">
        <f t="shared" si="3"/>
        <v/>
      </c>
    </row>
    <row r="46" spans="2:21" ht="16.5" customHeight="1" x14ac:dyDescent="0.25">
      <c r="E46" s="316"/>
      <c r="F46" s="171" t="str">
        <f>IF('2.1 Absorciones árboles'!E42=0,"",'2.1 Absorciones árboles'!E42)</f>
        <v/>
      </c>
      <c r="G46" s="178" t="str">
        <f t="shared" si="7"/>
        <v/>
      </c>
      <c r="H46" s="177" t="str">
        <f>IF('2.2 Emisiones restos corta'!I51="","",'2.2 Emisiones restos corta'!I51)</f>
        <v/>
      </c>
      <c r="I46" s="95"/>
      <c r="J46" s="94" t="str">
        <f t="shared" si="0"/>
        <v>Bb&lt;2iBf-</v>
      </c>
      <c r="K46" s="95"/>
      <c r="L46" s="94" t="str">
        <f t="shared" si="1"/>
        <v>Bb&gt;2-</v>
      </c>
      <c r="M46" s="95"/>
      <c r="N46" s="88" t="str">
        <f t="shared" si="2"/>
        <v>Bt-</v>
      </c>
      <c r="O46" s="171" t="str">
        <f>IF(I46="Vida útil corta (&lt;2 años)",((INDEX(Dades_PA!$B$45:$Y$71,(MATCH(F46,Espècies,0)),(MATCH(J46,Dades_PA!$B$44:$Y$44,0))))*H46*(Dades_PA!$B$142/100)),IF(I46="Vida útil media (&lt;10 años)",((INDEX(Dades_PA!$B$45:$Y$71,(MATCH(F46,Espècies,0)),(MATCH(J46,Dades_PA!$B$44:$Y$44,0))))*H46*(Dades_PA!$B$143/100)),IF(I46="Vida útil larga (&gt;30 años)",Dades_PA!$B$144,IF(I46="No se obtiene producto",Dades_PA!$B$145,""))))</f>
        <v/>
      </c>
      <c r="P46" s="171" t="str">
        <f>IF(K46="Vida útil corta (&lt;2 años)",((INDEX(Dades_PA!$B$45:$Y$71,(MATCH(F46,Espècies,0)),(MATCH(L46,Dades_PA!$B$44:$Y$44,0))))*H46*(Dades_PA!$B$142/100)),IF(K46="Vida útil media (&lt;10 años)",((INDEX(Dades_PA!$B$45:$Y$71,(MATCH(F46,Espècies,0)),(MATCH(L46,Dades_PA!$B$44:$Y$44,0))))*H46*(Dades_PA!$B$143/100)),IF(K46="Vida útil larga (&gt;30 años)",Dades_PA!$B$144,IF(K46="No se obtiene producto",Dades_PA!$B$145,""))))</f>
        <v/>
      </c>
      <c r="Q46" s="171" t="str">
        <f>IF(M46="Vida útil corta (&lt;2 años)",((INDEX(Dades_PA!$B$45:$Y$71,(MATCH(F46,Espècies,0)),(MATCH(N46,Dades_PA!$B$44:$Y$44,0))))*H46*(Dades_PA!$B$142/100)),IF(M46="Vida útil media (&lt;10 años)",((INDEX(Dades_PA!$B$45:$Y$71,(MATCH(F46,Espècies,0)),(MATCH(N46,Dades_PA!$B$44:$Y$44,0))))*H46*(Dades_PA!$B$143/100)),IF(M46="Vida útil larga (&gt;30 años)",Dades_PA!$B$144,IF(M46="No se obtiene producto",Dades_PA!$B$145,""))))</f>
        <v/>
      </c>
      <c r="R46" s="109" t="str">
        <f t="shared" si="3"/>
        <v/>
      </c>
    </row>
    <row r="47" spans="2:21" ht="15" customHeight="1" x14ac:dyDescent="0.25">
      <c r="E47" s="316"/>
      <c r="F47" s="171" t="str">
        <f>IF('2.1 Absorciones árboles'!E43=0,"",'2.1 Absorciones árboles'!E43)</f>
        <v/>
      </c>
      <c r="G47" s="178" t="str">
        <f t="shared" si="7"/>
        <v/>
      </c>
      <c r="H47" s="177" t="str">
        <f>IF('2.2 Emisiones restos corta'!I52="","",'2.2 Emisiones restos corta'!I52)</f>
        <v/>
      </c>
      <c r="I47" s="95"/>
      <c r="J47" s="94" t="str">
        <f t="shared" si="0"/>
        <v>Bb&lt;2iBf-</v>
      </c>
      <c r="K47" s="95"/>
      <c r="L47" s="94" t="str">
        <f t="shared" si="1"/>
        <v>Bb&gt;2-</v>
      </c>
      <c r="M47" s="95"/>
      <c r="N47" s="88" t="str">
        <f t="shared" si="2"/>
        <v>Bt-</v>
      </c>
      <c r="O47" s="171" t="str">
        <f>IF(I47="Vida útil corta (&lt;2 años)",((INDEX(Dades_PA!$B$45:$Y$71,(MATCH(F47,Espècies,0)),(MATCH(J47,Dades_PA!$B$44:$Y$44,0))))*H47*(Dades_PA!$B$142/100)),IF(I47="Vida útil media (&lt;10 años)",((INDEX(Dades_PA!$B$45:$Y$71,(MATCH(F47,Espècies,0)),(MATCH(J47,Dades_PA!$B$44:$Y$44,0))))*H47*(Dades_PA!$B$143/100)),IF(I47="Vida útil larga (&gt;30 años)",Dades_PA!$B$144,IF(I47="No se obtiene producto",Dades_PA!$B$145,""))))</f>
        <v/>
      </c>
      <c r="P47" s="171" t="str">
        <f>IF(K47="Vida útil corta (&lt;2 años)",((INDEX(Dades_PA!$B$45:$Y$71,(MATCH(F47,Espècies,0)),(MATCH(L47,Dades_PA!$B$44:$Y$44,0))))*H47*(Dades_PA!$B$142/100)),IF(K47="Vida útil media (&lt;10 años)",((INDEX(Dades_PA!$B$45:$Y$71,(MATCH(F47,Espècies,0)),(MATCH(L47,Dades_PA!$B$44:$Y$44,0))))*H47*(Dades_PA!$B$143/100)),IF(K47="Vida útil larga (&gt;30 años)",Dades_PA!$B$144,IF(K47="No se obtiene producto",Dades_PA!$B$145,""))))</f>
        <v/>
      </c>
      <c r="Q47" s="171" t="str">
        <f>IF(M47="Vida útil corta (&lt;2 años)",((INDEX(Dades_PA!$B$45:$Y$71,(MATCH(F47,Espècies,0)),(MATCH(N47,Dades_PA!$B$44:$Y$44,0))))*H47*(Dades_PA!$B$142/100)),IF(M47="Vida útil media (&lt;10 años)",((INDEX(Dades_PA!$B$45:$Y$71,(MATCH(F47,Espècies,0)),(MATCH(N47,Dades_PA!$B$44:$Y$44,0))))*H47*(Dades_PA!$B$143/100)),IF(M47="Vida útil larga (&gt;30 años)",Dades_PA!$B$144,IF(M47="No se obtiene producto",Dades_PA!$B$145,""))))</f>
        <v/>
      </c>
      <c r="R47" s="109" t="str">
        <f t="shared" si="3"/>
        <v/>
      </c>
    </row>
    <row r="48" spans="2:21" ht="16.5" customHeight="1" x14ac:dyDescent="0.25">
      <c r="E48" s="316"/>
      <c r="F48" s="171" t="str">
        <f>IF('2.1 Absorciones árboles'!E44=0,"",'2.1 Absorciones árboles'!E44)</f>
        <v/>
      </c>
      <c r="G48" s="178" t="str">
        <f t="shared" si="7"/>
        <v/>
      </c>
      <c r="H48" s="177" t="str">
        <f>IF('2.2 Emisiones restos corta'!I53="","",'2.2 Emisiones restos corta'!I53)</f>
        <v/>
      </c>
      <c r="I48" s="95"/>
      <c r="J48" s="94" t="str">
        <f t="shared" si="0"/>
        <v>Bb&lt;2iBf-</v>
      </c>
      <c r="K48" s="95"/>
      <c r="L48" s="94" t="str">
        <f t="shared" si="1"/>
        <v>Bb&gt;2-</v>
      </c>
      <c r="M48" s="95"/>
      <c r="N48" s="88" t="str">
        <f t="shared" si="2"/>
        <v>Bt-</v>
      </c>
      <c r="O48" s="171" t="str">
        <f>IF(I48="Vida útil corta (&lt;2 años)",((INDEX(Dades_PA!$B$45:$Y$71,(MATCH(F48,Espècies,0)),(MATCH(J48,Dades_PA!$B$44:$Y$44,0))))*H48*(Dades_PA!$B$142/100)),IF(I48="Vida útil media (&lt;10 años)",((INDEX(Dades_PA!$B$45:$Y$71,(MATCH(F48,Espècies,0)),(MATCH(J48,Dades_PA!$B$44:$Y$44,0))))*H48*(Dades_PA!$B$143/100)),IF(I48="Vida útil larga (&gt;30 años)",Dades_PA!$B$144,IF(I48="No se obtiene producto",Dades_PA!$B$145,""))))</f>
        <v/>
      </c>
      <c r="P48" s="171" t="str">
        <f>IF(K48="Vida útil corta (&lt;2 años)",((INDEX(Dades_PA!$B$45:$Y$71,(MATCH(F48,Espècies,0)),(MATCH(L48,Dades_PA!$B$44:$Y$44,0))))*H48*(Dades_PA!$B$142/100)),IF(K48="Vida útil media (&lt;10 años)",((INDEX(Dades_PA!$B$45:$Y$71,(MATCH(F48,Espècies,0)),(MATCH(L48,Dades_PA!$B$44:$Y$44,0))))*H48*(Dades_PA!$B$143/100)),IF(K48="Vida útil larga (&gt;30 años)",Dades_PA!$B$144,IF(K48="No se obtiene producto",Dades_PA!$B$145,""))))</f>
        <v/>
      </c>
      <c r="Q48" s="171" t="str">
        <f>IF(M48="Vida útil corta (&lt;2 años)",((INDEX(Dades_PA!$B$45:$Y$71,(MATCH(F48,Espècies,0)),(MATCH(N48,Dades_PA!$B$44:$Y$44,0))))*H48*(Dades_PA!$B$142/100)),IF(M48="Vida útil media (&lt;10 años)",((INDEX(Dades_PA!$B$45:$Y$71,(MATCH(F48,Espècies,0)),(MATCH(N48,Dades_PA!$B$44:$Y$44,0))))*H48*(Dades_PA!$B$143/100)),IF(M48="Vida útil larga (&gt;30 años)",Dades_PA!$B$144,IF(M48="No se obtiene producto",Dades_PA!$B$145,""))))</f>
        <v/>
      </c>
      <c r="R48" s="109" t="str">
        <f t="shared" si="3"/>
        <v/>
      </c>
    </row>
    <row r="49" spans="5:18" ht="15" customHeight="1" x14ac:dyDescent="0.25">
      <c r="E49" s="316"/>
      <c r="F49" s="171" t="str">
        <f>IF('2.1 Absorciones árboles'!E45=0,"",'2.1 Absorciones árboles'!E45)</f>
        <v/>
      </c>
      <c r="G49" s="178" t="str">
        <f t="shared" si="7"/>
        <v/>
      </c>
      <c r="H49" s="177" t="str">
        <f>IF('2.2 Emisiones restos corta'!I54="","",'2.2 Emisiones restos corta'!I54)</f>
        <v/>
      </c>
      <c r="I49" s="95"/>
      <c r="J49" s="94" t="str">
        <f t="shared" si="0"/>
        <v>Bb&lt;2iBf-</v>
      </c>
      <c r="K49" s="95"/>
      <c r="L49" s="94" t="str">
        <f t="shared" si="1"/>
        <v>Bb&gt;2-</v>
      </c>
      <c r="M49" s="95"/>
      <c r="N49" s="88" t="str">
        <f t="shared" si="2"/>
        <v>Bt-</v>
      </c>
      <c r="O49" s="171" t="str">
        <f>IF(I49="Vida útil corta (&lt;2 años)",((INDEX(Dades_PA!$B$45:$Y$71,(MATCH(F49,Espècies,0)),(MATCH(J49,Dades_PA!$B$44:$Y$44,0))))*H49*(Dades_PA!$B$142/100)),IF(I49="Vida útil media (&lt;10 años)",((INDEX(Dades_PA!$B$45:$Y$71,(MATCH(F49,Espècies,0)),(MATCH(J49,Dades_PA!$B$44:$Y$44,0))))*H49*(Dades_PA!$B$143/100)),IF(I49="Vida útil larga (&gt;30 años)",Dades_PA!$B$144,IF(I49="No se obtiene producto",Dades_PA!$B$145,""))))</f>
        <v/>
      </c>
      <c r="P49" s="171" t="str">
        <f>IF(K49="Vida útil corta (&lt;2 años)",((INDEX(Dades_PA!$B$45:$Y$71,(MATCH(F49,Espècies,0)),(MATCH(L49,Dades_PA!$B$44:$Y$44,0))))*H49*(Dades_PA!$B$142/100)),IF(K49="Vida útil media (&lt;10 años)",((INDEX(Dades_PA!$B$45:$Y$71,(MATCH(F49,Espècies,0)),(MATCH(L49,Dades_PA!$B$44:$Y$44,0))))*H49*(Dades_PA!$B$143/100)),IF(K49="Vida útil larga (&gt;30 años)",Dades_PA!$B$144,IF(K49="No se obtiene producto",Dades_PA!$B$145,""))))</f>
        <v/>
      </c>
      <c r="Q49" s="171" t="str">
        <f>IF(M49="Vida útil corta (&lt;2 años)",((INDEX(Dades_PA!$B$45:$Y$71,(MATCH(F49,Espècies,0)),(MATCH(N49,Dades_PA!$B$44:$Y$44,0))))*H49*(Dades_PA!$B$142/100)),IF(M49="Vida útil media (&lt;10 años)",((INDEX(Dades_PA!$B$45:$Y$71,(MATCH(F49,Espècies,0)),(MATCH(N49,Dades_PA!$B$44:$Y$44,0))))*H49*(Dades_PA!$B$143/100)),IF(M49="Vida útil larga (&gt;30 años)",Dades_PA!$B$144,IF(M49="No se obtiene producto",Dades_PA!$B$145,""))))</f>
        <v/>
      </c>
      <c r="R49" s="109" t="str">
        <f t="shared" si="3"/>
        <v/>
      </c>
    </row>
    <row r="50" spans="5:18" ht="16.5" customHeight="1" thickBot="1" x14ac:dyDescent="0.3">
      <c r="E50" s="317"/>
      <c r="F50" s="172" t="str">
        <f>IF('2.1 Absorciones árboles'!E46=0,"",'2.1 Absorciones árboles'!E46)</f>
        <v/>
      </c>
      <c r="G50" s="188" t="str">
        <f t="shared" si="7"/>
        <v/>
      </c>
      <c r="H50" s="189" t="str">
        <f>IF('2.2 Emisiones restos corta'!I55="","",'2.2 Emisiones restos corta'!I55)</f>
        <v/>
      </c>
      <c r="I50" s="97"/>
      <c r="J50" s="96" t="str">
        <f t="shared" si="0"/>
        <v>Bb&lt;2iBf-</v>
      </c>
      <c r="K50" s="97"/>
      <c r="L50" s="96" t="str">
        <f t="shared" si="1"/>
        <v>Bb&gt;2-</v>
      </c>
      <c r="M50" s="97"/>
      <c r="N50" s="92" t="str">
        <f t="shared" si="2"/>
        <v>Bt-</v>
      </c>
      <c r="O50" s="172" t="str">
        <f>IF(I50="Vida útil corta (&lt;2 años)",((INDEX(Dades_PA!$B$45:$Y$71,(MATCH(F50,Espècies,0)),(MATCH(J50,Dades_PA!$B$44:$Y$44,0))))*H50*(Dades_PA!$B$142/100)),IF(I50="Vida útil media (&lt;10 años)",((INDEX(Dades_PA!$B$45:$Y$71,(MATCH(F50,Espècies,0)),(MATCH(J50,Dades_PA!$B$44:$Y$44,0))))*H50*(Dades_PA!$B$143/100)),IF(I50="Vida útil larga (&gt;30 años)",Dades_PA!$B$144,IF(I50="No se obtiene producto",Dades_PA!$B$145,""))))</f>
        <v/>
      </c>
      <c r="P50" s="172" t="str">
        <f>IF(K50="Vida útil corta (&lt;2 años)",((INDEX(Dades_PA!$B$45:$Y$71,(MATCH(F50,Espècies,0)),(MATCH(L50,Dades_PA!$B$44:$Y$44,0))))*H50*(Dades_PA!$B$142/100)),IF(K50="Vida útil media (&lt;10 años)",((INDEX(Dades_PA!$B$45:$Y$71,(MATCH(F50,Espècies,0)),(MATCH(L50,Dades_PA!$B$44:$Y$44,0))))*H50*(Dades_PA!$B$143/100)),IF(K50="Vida útil larga (&gt;30 años)",Dades_PA!$B$144,IF(K50="No se obtiene producto",Dades_PA!$B$145,""))))</f>
        <v/>
      </c>
      <c r="Q50" s="172" t="str">
        <f>IF(M50="Vida útil corta (&lt;2 años)",((INDEX(Dades_PA!$B$45:$Y$71,(MATCH(F50,Espècies,0)),(MATCH(N50,Dades_PA!$B$44:$Y$44,0))))*H50*(Dades_PA!$B$142/100)),IF(M50="Vida útil media (&lt;10 años)",((INDEX(Dades_PA!$B$45:$Y$71,(MATCH(F50,Espècies,0)),(MATCH(N50,Dades_PA!$B$44:$Y$44,0))))*H50*(Dades_PA!$B$143/100)),IF(M50="Vida útil larga (&gt;30 años)",Dades_PA!$B$144,IF(M50="No se obtiene producto",Dades_PA!$B$145,""))))</f>
        <v/>
      </c>
      <c r="R50" s="110" t="str">
        <f t="shared" si="3"/>
        <v/>
      </c>
    </row>
    <row r="51" spans="5:18" ht="16.5" customHeight="1" x14ac:dyDescent="0.25">
      <c r="E51" s="315" t="str">
        <f>IF(('1. Datos generales del proyecto'!D35)="","",('1. Datos generales del proyecto'!D35))</f>
        <v/>
      </c>
      <c r="F51" s="170" t="str">
        <f>IF('2.1 Absorciones árboles'!E47=0,"",'2.1 Absorciones árboles'!E47)</f>
        <v/>
      </c>
      <c r="G51" s="185" t="str">
        <f>IF(('2.1 Absorciones árboles'!H47&gt;0),('2.1 Absorciones árboles'!H47),"")</f>
        <v/>
      </c>
      <c r="H51" s="186" t="str">
        <f>IF('2.2 Emisiones restos corta'!I56="","",'2.2 Emisiones restos corta'!I56)</f>
        <v/>
      </c>
      <c r="I51" s="80"/>
      <c r="J51" s="93"/>
      <c r="K51" s="80"/>
      <c r="L51" s="93"/>
      <c r="M51" s="80"/>
      <c r="N51" s="84" t="str">
        <f t="shared" si="2"/>
        <v>Bt-</v>
      </c>
      <c r="O51" s="170" t="str">
        <f>IF(I51="Vida útil corta (&lt;2 años)",((INDEX(Dades_PA!$B$45:$Y$71,(MATCH(F51,Espècies,0)),(MATCH(J51,Dades_PA!$B$44:$Y$44,0))))*H51*(Dades_PA!$B$142/100)),IF(I51="Vida útil media (&lt;10 años)",((INDEX(Dades_PA!$B$45:$Y$71,(MATCH(F51,Espècies,0)),(MATCH(J51,Dades_PA!$B$44:$Y$44,0))))*H51*(Dades_PA!$B$143/100)),IF(I51="Vida útil larga (&gt;30 años)",Dades_PA!$B$144,IF(I51="No se obtiene producto",Dades_PA!$B$145,""))))</f>
        <v/>
      </c>
      <c r="P51" s="170" t="str">
        <f>IF(K51="Vida útil corta (&lt;2 años)",((INDEX(Dades_PA!$B$45:$Y$71,(MATCH(F51,Espècies,0)),(MATCH(L51,Dades_PA!$B$44:$Y$44,0))))*H51*(Dades_PA!$B$142/100)),IF(K51="Vida útil media (&lt;10 años)",((INDEX(Dades_PA!$B$45:$Y$71,(MATCH(F51,Espècies,0)),(MATCH(L51,Dades_PA!$B$44:$Y$44,0))))*H51*(Dades_PA!$B$143/100)),IF(K51="Vida útil larga (&gt;30 años)",Dades_PA!$B$144,IF(K51="No se obtiene producto",Dades_PA!$B$145,""))))</f>
        <v/>
      </c>
      <c r="Q51" s="170" t="str">
        <f>IF(M51="Vida útil corta (&lt;2 años)",((INDEX(Dades_PA!$B$45:$Y$71,(MATCH(F51,Espècies,0)),(MATCH(N51,Dades_PA!$B$44:$Y$44,0))))*H51*(Dades_PA!$B$142/100)),IF(M51="Vida útil media (&lt;10 años)",((INDEX(Dades_PA!$B$45:$Y$71,(MATCH(F51,Espècies,0)),(MATCH(N51,Dades_PA!$B$44:$Y$44,0))))*H51*(Dades_PA!$B$143/100)),IF(M51="Vida útil larga (&gt;30 años)",Dades_PA!$B$144,IF(M51="No se obtiene producto",Dades_PA!$B$145,""))))</f>
        <v/>
      </c>
      <c r="R51" s="108" t="str">
        <f t="shared" si="3"/>
        <v/>
      </c>
    </row>
    <row r="52" spans="5:18" ht="15" customHeight="1" x14ac:dyDescent="0.25">
      <c r="E52" s="316"/>
      <c r="F52" s="171" t="str">
        <f>IF('2.1 Absorciones árboles'!E48=0,"",'2.1 Absorciones árboles'!E48)</f>
        <v/>
      </c>
      <c r="G52" s="178" t="str">
        <f>$G$51</f>
        <v/>
      </c>
      <c r="H52" s="177" t="str">
        <f>IF('2.2 Emisiones restos corta'!I57="","",'2.2 Emisiones restos corta'!I57)</f>
        <v/>
      </c>
      <c r="I52" s="95"/>
      <c r="J52" s="94" t="str">
        <f t="shared" si="0"/>
        <v>Bb&lt;2iBf-</v>
      </c>
      <c r="K52" s="95"/>
      <c r="L52" s="94" t="str">
        <f t="shared" si="1"/>
        <v>Bb&gt;2-</v>
      </c>
      <c r="M52" s="95"/>
      <c r="N52" s="88" t="str">
        <f t="shared" si="2"/>
        <v>Bt-</v>
      </c>
      <c r="O52" s="171" t="str">
        <f>IF(I52="Vida útil corta (&lt;2 años)",((INDEX(Dades_PA!$B$45:$Y$71,(MATCH(F52,Espècies,0)),(MATCH(J52,Dades_PA!$B$44:$Y$44,0))))*H52*(Dades_PA!$B$142/100)),IF(I52="Vida útil media (&lt;10 años)",((INDEX(Dades_PA!$B$45:$Y$71,(MATCH(F52,Espècies,0)),(MATCH(J52,Dades_PA!$B$44:$Y$44,0))))*H52*(Dades_PA!$B$143/100)),IF(I52="Vida útil larga (&gt;30 años)",Dades_PA!$B$144,IF(I52="No se obtiene producto",Dades_PA!$B$145,""))))</f>
        <v/>
      </c>
      <c r="P52" s="171" t="str">
        <f>IF(K52="Vida útil corta (&lt;2 años)",((INDEX(Dades_PA!$B$45:$Y$71,(MATCH(F52,Espècies,0)),(MATCH(L52,Dades_PA!$B$44:$Y$44,0))))*H52*(Dades_PA!$B$142/100)),IF(K52="Vida útil media (&lt;10 años)",((INDEX(Dades_PA!$B$45:$Y$71,(MATCH(F52,Espècies,0)),(MATCH(L52,Dades_PA!$B$44:$Y$44,0))))*H52*(Dades_PA!$B$143/100)),IF(K52="Vida útil larga (&gt;30 años)",Dades_PA!$B$144,IF(K52="No se obtiene producto",Dades_PA!$B$145,""))))</f>
        <v/>
      </c>
      <c r="Q52" s="171" t="str">
        <f>IF(M52="Vida útil corta (&lt;2 años)",((INDEX(Dades_PA!$B$45:$Y$71,(MATCH(F52,Espècies,0)),(MATCH(N52,Dades_PA!$B$44:$Y$44,0))))*H52*(Dades_PA!$B$142/100)),IF(M52="Vida útil media (&lt;10 años)",((INDEX(Dades_PA!$B$45:$Y$71,(MATCH(F52,Espècies,0)),(MATCH(N52,Dades_PA!$B$44:$Y$44,0))))*H52*(Dades_PA!$B$143/100)),IF(M52="Vida útil larga (&gt;30 años)",Dades_PA!$B$144,IF(M52="No se obtiene producto",Dades_PA!$B$145,""))))</f>
        <v/>
      </c>
      <c r="R52" s="109" t="str">
        <f t="shared" si="3"/>
        <v/>
      </c>
    </row>
    <row r="53" spans="5:18" ht="16.5" customHeight="1" x14ac:dyDescent="0.25">
      <c r="E53" s="316"/>
      <c r="F53" s="171" t="str">
        <f>IF('2.1 Absorciones árboles'!E49=0,"",'2.1 Absorciones árboles'!E49)</f>
        <v/>
      </c>
      <c r="G53" s="178" t="str">
        <f t="shared" ref="G53:G60" si="8">$G$51</f>
        <v/>
      </c>
      <c r="H53" s="177" t="str">
        <f>IF('2.2 Emisiones restos corta'!I58="","",'2.2 Emisiones restos corta'!I58)</f>
        <v/>
      </c>
      <c r="I53" s="95"/>
      <c r="J53" s="94" t="str">
        <f t="shared" si="0"/>
        <v>Bb&lt;2iBf-</v>
      </c>
      <c r="K53" s="95"/>
      <c r="L53" s="94" t="str">
        <f t="shared" si="1"/>
        <v>Bb&gt;2-</v>
      </c>
      <c r="M53" s="95"/>
      <c r="N53" s="88" t="str">
        <f t="shared" si="2"/>
        <v>Bt-</v>
      </c>
      <c r="O53" s="171" t="str">
        <f>IF(I53="Vida útil corta (&lt;2 años)",((INDEX(Dades_PA!$B$45:$Y$71,(MATCH(F53,Espècies,0)),(MATCH(J53,Dades_PA!$B$44:$Y$44,0))))*H53*(Dades_PA!$B$142/100)),IF(I53="Vida útil media (&lt;10 años)",((INDEX(Dades_PA!$B$45:$Y$71,(MATCH(F53,Espècies,0)),(MATCH(J53,Dades_PA!$B$44:$Y$44,0))))*H53*(Dades_PA!$B$143/100)),IF(I53="Vida útil larga (&gt;30 años)",Dades_PA!$B$144,IF(I53="No se obtiene producto",Dades_PA!$B$145,""))))</f>
        <v/>
      </c>
      <c r="P53" s="171" t="str">
        <f>IF(K53="Vida útil corta (&lt;2 años)",((INDEX(Dades_PA!$B$45:$Y$71,(MATCH(F53,Espècies,0)),(MATCH(L53,Dades_PA!$B$44:$Y$44,0))))*H53*(Dades_PA!$B$142/100)),IF(K53="Vida útil media (&lt;10 años)",((INDEX(Dades_PA!$B$45:$Y$71,(MATCH(F53,Espècies,0)),(MATCH(L53,Dades_PA!$B$44:$Y$44,0))))*H53*(Dades_PA!$B$143/100)),IF(K53="Vida útil larga (&gt;30 años)",Dades_PA!$B$144,IF(K53="No se obtiene producto",Dades_PA!$B$145,""))))</f>
        <v/>
      </c>
      <c r="Q53" s="171" t="str">
        <f>IF(M53="Vida útil corta (&lt;2 años)",((INDEX(Dades_PA!$B$45:$Y$71,(MATCH(F53,Espècies,0)),(MATCH(N53,Dades_PA!$B$44:$Y$44,0))))*H53*(Dades_PA!$B$142/100)),IF(M53="Vida útil media (&lt;10 años)",((INDEX(Dades_PA!$B$45:$Y$71,(MATCH(F53,Espècies,0)),(MATCH(N53,Dades_PA!$B$44:$Y$44,0))))*H53*(Dades_PA!$B$143/100)),IF(M53="Vida útil larga (&gt;30 años)",Dades_PA!$B$144,IF(M53="No se obtiene producto",Dades_PA!$B$145,""))))</f>
        <v/>
      </c>
      <c r="R53" s="109" t="str">
        <f t="shared" si="3"/>
        <v/>
      </c>
    </row>
    <row r="54" spans="5:18" ht="16.5" customHeight="1" x14ac:dyDescent="0.25">
      <c r="E54" s="316"/>
      <c r="F54" s="171" t="str">
        <f>IF('2.1 Absorciones árboles'!E50=0,"",'2.1 Absorciones árboles'!E50)</f>
        <v/>
      </c>
      <c r="G54" s="178" t="str">
        <f t="shared" si="8"/>
        <v/>
      </c>
      <c r="H54" s="177" t="str">
        <f>IF('2.2 Emisiones restos corta'!I59="","",'2.2 Emisiones restos corta'!I59)</f>
        <v/>
      </c>
      <c r="I54" s="95"/>
      <c r="J54" s="94" t="str">
        <f t="shared" si="0"/>
        <v>Bb&lt;2iBf-</v>
      </c>
      <c r="K54" s="95"/>
      <c r="L54" s="94" t="str">
        <f t="shared" si="1"/>
        <v>Bb&gt;2-</v>
      </c>
      <c r="M54" s="95"/>
      <c r="N54" s="88" t="str">
        <f t="shared" si="2"/>
        <v>Bt-</v>
      </c>
      <c r="O54" s="171" t="str">
        <f>IF(I54="Vida útil corta (&lt;2 años)",((INDEX(Dades_PA!$B$45:$Y$71,(MATCH(F54,Espècies,0)),(MATCH(J54,Dades_PA!$B$44:$Y$44,0))))*H54*(Dades_PA!$B$142/100)),IF(I54="Vida útil media (&lt;10 años)",((INDEX(Dades_PA!$B$45:$Y$71,(MATCH(F54,Espècies,0)),(MATCH(J54,Dades_PA!$B$44:$Y$44,0))))*H54*(Dades_PA!$B$143/100)),IF(I54="Vida útil larga (&gt;30 años)",Dades_PA!$B$144,IF(I54="No se obtiene producto",Dades_PA!$B$145,""))))</f>
        <v/>
      </c>
      <c r="P54" s="171" t="str">
        <f>IF(K54="Vida útil corta (&lt;2 años)",((INDEX(Dades_PA!$B$45:$Y$71,(MATCH(F54,Espècies,0)),(MATCH(L54,Dades_PA!$B$44:$Y$44,0))))*H54*(Dades_PA!$B$142/100)),IF(K54="Vida útil media (&lt;10 años)",((INDEX(Dades_PA!$B$45:$Y$71,(MATCH(F54,Espècies,0)),(MATCH(L54,Dades_PA!$B$44:$Y$44,0))))*H54*(Dades_PA!$B$143/100)),IF(K54="Vida útil larga (&gt;30 años)",Dades_PA!$B$144,IF(K54="No se obtiene producto",Dades_PA!$B$145,""))))</f>
        <v/>
      </c>
      <c r="Q54" s="171" t="str">
        <f>IF(M54="Vida útil corta (&lt;2 años)",((INDEX(Dades_PA!$B$45:$Y$71,(MATCH(F54,Espècies,0)),(MATCH(N54,Dades_PA!$B$44:$Y$44,0))))*H54*(Dades_PA!$B$142/100)),IF(M54="Vida útil media (&lt;10 años)",((INDEX(Dades_PA!$B$45:$Y$71,(MATCH(F54,Espècies,0)),(MATCH(N54,Dades_PA!$B$44:$Y$44,0))))*H54*(Dades_PA!$B$143/100)),IF(M54="Vida útil larga (&gt;30 años)",Dades_PA!$B$144,IF(M54="No se obtiene producto",Dades_PA!$B$145,""))))</f>
        <v/>
      </c>
      <c r="R54" s="109" t="str">
        <f t="shared" si="3"/>
        <v/>
      </c>
    </row>
    <row r="55" spans="5:18" ht="16.5" customHeight="1" x14ac:dyDescent="0.25">
      <c r="E55" s="316"/>
      <c r="F55" s="171" t="str">
        <f>IF('2.1 Absorciones árboles'!E51=0,"",'2.1 Absorciones árboles'!E51)</f>
        <v/>
      </c>
      <c r="G55" s="178" t="str">
        <f t="shared" si="8"/>
        <v/>
      </c>
      <c r="H55" s="177" t="str">
        <f>IF('2.2 Emisiones restos corta'!I60="","",'2.2 Emisiones restos corta'!I60)</f>
        <v/>
      </c>
      <c r="I55" s="95"/>
      <c r="J55" s="94" t="str">
        <f t="shared" si="0"/>
        <v>Bb&lt;2iBf-</v>
      </c>
      <c r="K55" s="95"/>
      <c r="L55" s="94" t="str">
        <f t="shared" si="1"/>
        <v>Bb&gt;2-</v>
      </c>
      <c r="M55" s="95"/>
      <c r="N55" s="88" t="str">
        <f t="shared" si="2"/>
        <v>Bt-</v>
      </c>
      <c r="O55" s="171" t="str">
        <f>IF(I55="Vida útil corta (&lt;2 años)",((INDEX(Dades_PA!$B$45:$Y$71,(MATCH(F55,Espècies,0)),(MATCH(J55,Dades_PA!$B$44:$Y$44,0))))*H55*(Dades_PA!$B$142/100)),IF(I55="Vida útil media (&lt;10 años)",((INDEX(Dades_PA!$B$45:$Y$71,(MATCH(F55,Espècies,0)),(MATCH(J55,Dades_PA!$B$44:$Y$44,0))))*H55*(Dades_PA!$B$143/100)),IF(I55="Vida útil larga (&gt;30 años)",Dades_PA!$B$144,IF(I55="No se obtiene producto",Dades_PA!$B$145,""))))</f>
        <v/>
      </c>
      <c r="P55" s="171" t="str">
        <f>IF(K55="Vida útil corta (&lt;2 años)",((INDEX(Dades_PA!$B$45:$Y$71,(MATCH(F55,Espècies,0)),(MATCH(L55,Dades_PA!$B$44:$Y$44,0))))*H55*(Dades_PA!$B$142/100)),IF(K55="Vida útil media (&lt;10 años)",((INDEX(Dades_PA!$B$45:$Y$71,(MATCH(F55,Espècies,0)),(MATCH(L55,Dades_PA!$B$44:$Y$44,0))))*H55*(Dades_PA!$B$143/100)),IF(K55="Vida útil larga (&gt;30 años)",Dades_PA!$B$144,IF(K55="No se obtiene producto",Dades_PA!$B$145,""))))</f>
        <v/>
      </c>
      <c r="Q55" s="171" t="str">
        <f>IF(M55="Vida útil corta (&lt;2 años)",((INDEX(Dades_PA!$B$45:$Y$71,(MATCH(F55,Espècies,0)),(MATCH(N55,Dades_PA!$B$44:$Y$44,0))))*H55*(Dades_PA!$B$142/100)),IF(M55="Vida útil media (&lt;10 años)",((INDEX(Dades_PA!$B$45:$Y$71,(MATCH(F55,Espècies,0)),(MATCH(N55,Dades_PA!$B$44:$Y$44,0))))*H55*(Dades_PA!$B$143/100)),IF(M55="Vida útil larga (&gt;30 años)",Dades_PA!$B$144,IF(M55="No se obtiene producto",Dades_PA!$B$145,""))))</f>
        <v/>
      </c>
      <c r="R55" s="109" t="str">
        <f t="shared" si="3"/>
        <v/>
      </c>
    </row>
    <row r="56" spans="5:18" ht="16.5" customHeight="1" x14ac:dyDescent="0.25">
      <c r="E56" s="316"/>
      <c r="F56" s="171" t="str">
        <f>IF('2.1 Absorciones árboles'!E52=0,"",'2.1 Absorciones árboles'!E52)</f>
        <v/>
      </c>
      <c r="G56" s="178" t="str">
        <f t="shared" si="8"/>
        <v/>
      </c>
      <c r="H56" s="177" t="str">
        <f>IF('2.2 Emisiones restos corta'!I61="","",'2.2 Emisiones restos corta'!I61)</f>
        <v/>
      </c>
      <c r="I56" s="95"/>
      <c r="J56" s="94" t="str">
        <f t="shared" si="0"/>
        <v>Bb&lt;2iBf-</v>
      </c>
      <c r="K56" s="95"/>
      <c r="L56" s="94" t="str">
        <f t="shared" si="1"/>
        <v>Bb&gt;2-</v>
      </c>
      <c r="M56" s="95"/>
      <c r="N56" s="88" t="str">
        <f t="shared" si="2"/>
        <v>Bt-</v>
      </c>
      <c r="O56" s="171" t="str">
        <f>IF(I56="Vida útil corta (&lt;2 años)",((INDEX(Dades_PA!$B$45:$Y$71,(MATCH(F56,Espècies,0)),(MATCH(J56,Dades_PA!$B$44:$Y$44,0))))*H56*(Dades_PA!$B$142/100)),IF(I56="Vida útil media (&lt;10 años)",((INDEX(Dades_PA!$B$45:$Y$71,(MATCH(F56,Espècies,0)),(MATCH(J56,Dades_PA!$B$44:$Y$44,0))))*H56*(Dades_PA!$B$143/100)),IF(I56="Vida útil larga (&gt;30 años)",Dades_PA!$B$144,IF(I56="No se obtiene producto",Dades_PA!$B$145,""))))</f>
        <v/>
      </c>
      <c r="P56" s="171" t="str">
        <f>IF(K56="Vida útil corta (&lt;2 años)",((INDEX(Dades_PA!$B$45:$Y$71,(MATCH(F56,Espècies,0)),(MATCH(L56,Dades_PA!$B$44:$Y$44,0))))*H56*(Dades_PA!$B$142/100)),IF(K56="Vida útil media (&lt;10 años)",((INDEX(Dades_PA!$B$45:$Y$71,(MATCH(F56,Espècies,0)),(MATCH(L56,Dades_PA!$B$44:$Y$44,0))))*H56*(Dades_PA!$B$143/100)),IF(K56="Vida útil larga (&gt;30 años)",Dades_PA!$B$144,IF(K56="No se obtiene producto",Dades_PA!$B$145,""))))</f>
        <v/>
      </c>
      <c r="Q56" s="171" t="str">
        <f>IF(M56="Vida útil corta (&lt;2 años)",((INDEX(Dades_PA!$B$45:$Y$71,(MATCH(F56,Espècies,0)),(MATCH(N56,Dades_PA!$B$44:$Y$44,0))))*H56*(Dades_PA!$B$142/100)),IF(M56="Vida útil media (&lt;10 años)",((INDEX(Dades_PA!$B$45:$Y$71,(MATCH(F56,Espècies,0)),(MATCH(N56,Dades_PA!$B$44:$Y$44,0))))*H56*(Dades_PA!$B$143/100)),IF(M56="Vida útil larga (&gt;30 años)",Dades_PA!$B$144,IF(M56="No se obtiene producto",Dades_PA!$B$145,""))))</f>
        <v/>
      </c>
      <c r="R56" s="109" t="str">
        <f t="shared" si="3"/>
        <v/>
      </c>
    </row>
    <row r="57" spans="5:18" ht="16.5" customHeight="1" x14ac:dyDescent="0.25">
      <c r="E57" s="316"/>
      <c r="F57" s="171" t="str">
        <f>IF('2.1 Absorciones árboles'!E53=0,"",'2.1 Absorciones árboles'!E53)</f>
        <v/>
      </c>
      <c r="G57" s="178" t="str">
        <f t="shared" si="8"/>
        <v/>
      </c>
      <c r="H57" s="177" t="str">
        <f>IF('2.2 Emisiones restos corta'!I62="","",'2.2 Emisiones restos corta'!I62)</f>
        <v/>
      </c>
      <c r="I57" s="95"/>
      <c r="J57" s="94" t="str">
        <f t="shared" si="0"/>
        <v>Bb&lt;2iBf-</v>
      </c>
      <c r="K57" s="95"/>
      <c r="L57" s="94" t="str">
        <f t="shared" si="1"/>
        <v>Bb&gt;2-</v>
      </c>
      <c r="M57" s="95"/>
      <c r="N57" s="88" t="str">
        <f t="shared" si="2"/>
        <v>Bt-</v>
      </c>
      <c r="O57" s="171" t="str">
        <f>IF(I57="Vida útil corta (&lt;2 años)",((INDEX(Dades_PA!$B$45:$Y$71,(MATCH(F57,Espècies,0)),(MATCH(J57,Dades_PA!$B$44:$Y$44,0))))*H57*(Dades_PA!$B$142/100)),IF(I57="Vida útil media (&lt;10 años)",((INDEX(Dades_PA!$B$45:$Y$71,(MATCH(F57,Espècies,0)),(MATCH(J57,Dades_PA!$B$44:$Y$44,0))))*H57*(Dades_PA!$B$143/100)),IF(I57="Vida útil larga (&gt;30 años)",Dades_PA!$B$144,IF(I57="No se obtiene producto",Dades_PA!$B$145,""))))</f>
        <v/>
      </c>
      <c r="P57" s="171" t="str">
        <f>IF(K57="Vida útil corta (&lt;2 años)",((INDEX(Dades_PA!$B$45:$Y$71,(MATCH(F57,Espècies,0)),(MATCH(L57,Dades_PA!$B$44:$Y$44,0))))*H57*(Dades_PA!$B$142/100)),IF(K57="Vida útil media (&lt;10 años)",((INDEX(Dades_PA!$B$45:$Y$71,(MATCH(F57,Espècies,0)),(MATCH(L57,Dades_PA!$B$44:$Y$44,0))))*H57*(Dades_PA!$B$143/100)),IF(K57="Vida útil larga (&gt;30 años)",Dades_PA!$B$144,IF(K57="No se obtiene producto",Dades_PA!$B$145,""))))</f>
        <v/>
      </c>
      <c r="Q57" s="171" t="str">
        <f>IF(M57="Vida útil corta (&lt;2 años)",((INDEX(Dades_PA!$B$45:$Y$71,(MATCH(F57,Espècies,0)),(MATCH(N57,Dades_PA!$B$44:$Y$44,0))))*H57*(Dades_PA!$B$142/100)),IF(M57="Vida útil media (&lt;10 años)",((INDEX(Dades_PA!$B$45:$Y$71,(MATCH(F57,Espècies,0)),(MATCH(N57,Dades_PA!$B$44:$Y$44,0))))*H57*(Dades_PA!$B$143/100)),IF(M57="Vida útil larga (&gt;30 años)",Dades_PA!$B$144,IF(M57="No se obtiene producto",Dades_PA!$B$145,""))))</f>
        <v/>
      </c>
      <c r="R57" s="109" t="str">
        <f t="shared" si="3"/>
        <v/>
      </c>
    </row>
    <row r="58" spans="5:18" ht="16.5" customHeight="1" x14ac:dyDescent="0.25">
      <c r="E58" s="316"/>
      <c r="F58" s="171" t="str">
        <f>IF('2.1 Absorciones árboles'!E54=0,"",'2.1 Absorciones árboles'!E54)</f>
        <v/>
      </c>
      <c r="G58" s="178" t="str">
        <f t="shared" si="8"/>
        <v/>
      </c>
      <c r="H58" s="177" t="str">
        <f>IF('2.2 Emisiones restos corta'!I63="","",'2.2 Emisiones restos corta'!I63)</f>
        <v/>
      </c>
      <c r="I58" s="95"/>
      <c r="J58" s="94" t="str">
        <f t="shared" si="0"/>
        <v>Bb&lt;2iBf-</v>
      </c>
      <c r="K58" s="95"/>
      <c r="L58" s="94" t="str">
        <f t="shared" si="1"/>
        <v>Bb&gt;2-</v>
      </c>
      <c r="M58" s="95"/>
      <c r="N58" s="88" t="str">
        <f t="shared" si="2"/>
        <v>Bt-</v>
      </c>
      <c r="O58" s="171" t="str">
        <f>IF(I58="Vida útil corta (&lt;2 años)",((INDEX(Dades_PA!$B$45:$Y$71,(MATCH(F58,Espècies,0)),(MATCH(J58,Dades_PA!$B$44:$Y$44,0))))*H58*(Dades_PA!$B$142/100)),IF(I58="Vida útil media (&lt;10 años)",((INDEX(Dades_PA!$B$45:$Y$71,(MATCH(F58,Espècies,0)),(MATCH(J58,Dades_PA!$B$44:$Y$44,0))))*H58*(Dades_PA!$B$143/100)),IF(I58="Vida útil larga (&gt;30 años)",Dades_PA!$B$144,IF(I58="No se obtiene producto",Dades_PA!$B$145,""))))</f>
        <v/>
      </c>
      <c r="P58" s="171" t="str">
        <f>IF(K58="Vida útil corta (&lt;2 años)",((INDEX(Dades_PA!$B$45:$Y$71,(MATCH(F58,Espècies,0)),(MATCH(L58,Dades_PA!$B$44:$Y$44,0))))*H58*(Dades_PA!$B$142/100)),IF(K58="Vida útil media (&lt;10 años)",((INDEX(Dades_PA!$B$45:$Y$71,(MATCH(F58,Espècies,0)),(MATCH(L58,Dades_PA!$B$44:$Y$44,0))))*H58*(Dades_PA!$B$143/100)),IF(K58="Vida útil larga (&gt;30 años)",Dades_PA!$B$144,IF(K58="No se obtiene producto",Dades_PA!$B$145,""))))</f>
        <v/>
      </c>
      <c r="Q58" s="171" t="str">
        <f>IF(M58="Vida útil corta (&lt;2 años)",((INDEX(Dades_PA!$B$45:$Y$71,(MATCH(F58,Espècies,0)),(MATCH(N58,Dades_PA!$B$44:$Y$44,0))))*H58*(Dades_PA!$B$142/100)),IF(M58="Vida útil media (&lt;10 años)",((INDEX(Dades_PA!$B$45:$Y$71,(MATCH(F58,Espècies,0)),(MATCH(N58,Dades_PA!$B$44:$Y$44,0))))*H58*(Dades_PA!$B$143/100)),IF(M58="Vida útil larga (&gt;30 años)",Dades_PA!$B$144,IF(M58="No se obtiene producto",Dades_PA!$B$145,""))))</f>
        <v/>
      </c>
      <c r="R58" s="109" t="str">
        <f t="shared" si="3"/>
        <v/>
      </c>
    </row>
    <row r="59" spans="5:18" ht="16.5" customHeight="1" x14ac:dyDescent="0.25">
      <c r="E59" s="316"/>
      <c r="F59" s="171" t="str">
        <f>IF('2.1 Absorciones árboles'!E55=0,"",'2.1 Absorciones árboles'!E55)</f>
        <v/>
      </c>
      <c r="G59" s="178" t="str">
        <f t="shared" si="8"/>
        <v/>
      </c>
      <c r="H59" s="177" t="str">
        <f>IF('2.2 Emisiones restos corta'!I64="","",'2.2 Emisiones restos corta'!I64)</f>
        <v/>
      </c>
      <c r="I59" s="95"/>
      <c r="J59" s="94" t="str">
        <f t="shared" si="0"/>
        <v>Bb&lt;2iBf-</v>
      </c>
      <c r="K59" s="95"/>
      <c r="L59" s="94" t="str">
        <f t="shared" si="1"/>
        <v>Bb&gt;2-</v>
      </c>
      <c r="M59" s="95"/>
      <c r="N59" s="88" t="str">
        <f t="shared" si="2"/>
        <v>Bt-</v>
      </c>
      <c r="O59" s="171" t="str">
        <f>IF(I59="Vida útil corta (&lt;2 años)",((INDEX(Dades_PA!$B$45:$Y$71,(MATCH(F59,Espècies,0)),(MATCH(J59,Dades_PA!$B$44:$Y$44,0))))*H59*(Dades_PA!$B$142/100)),IF(I59="Vida útil media (&lt;10 años)",((INDEX(Dades_PA!$B$45:$Y$71,(MATCH(F59,Espècies,0)),(MATCH(J59,Dades_PA!$B$44:$Y$44,0))))*H59*(Dades_PA!$B$143/100)),IF(I59="Vida útil larga (&gt;30 años)",Dades_PA!$B$144,IF(I59="No se obtiene producto",Dades_PA!$B$145,""))))</f>
        <v/>
      </c>
      <c r="P59" s="171" t="str">
        <f>IF(K59="Vida útil corta (&lt;2 años)",((INDEX(Dades_PA!$B$45:$Y$71,(MATCH(F59,Espècies,0)),(MATCH(L59,Dades_PA!$B$44:$Y$44,0))))*H59*(Dades_PA!$B$142/100)),IF(K59="Vida útil media (&lt;10 años)",((INDEX(Dades_PA!$B$45:$Y$71,(MATCH(F59,Espècies,0)),(MATCH(L59,Dades_PA!$B$44:$Y$44,0))))*H59*(Dades_PA!$B$143/100)),IF(K59="Vida útil larga (&gt;30 años)",Dades_PA!$B$144,IF(K59="No se obtiene producto",Dades_PA!$B$145,""))))</f>
        <v/>
      </c>
      <c r="Q59" s="171" t="str">
        <f>IF(M59="Vida útil corta (&lt;2 años)",((INDEX(Dades_PA!$B$45:$Y$71,(MATCH(F59,Espècies,0)),(MATCH(N59,Dades_PA!$B$44:$Y$44,0))))*H59*(Dades_PA!$B$142/100)),IF(M59="Vida útil media (&lt;10 años)",((INDEX(Dades_PA!$B$45:$Y$71,(MATCH(F59,Espècies,0)),(MATCH(N59,Dades_PA!$B$44:$Y$44,0))))*H59*(Dades_PA!$B$143/100)),IF(M59="Vida útil larga (&gt;30 años)",Dades_PA!$B$144,IF(M59="No se obtiene producto",Dades_PA!$B$145,""))))</f>
        <v/>
      </c>
      <c r="R59" s="109" t="str">
        <f t="shared" si="3"/>
        <v/>
      </c>
    </row>
    <row r="60" spans="5:18" ht="16.5" customHeight="1" thickBot="1" x14ac:dyDescent="0.3">
      <c r="E60" s="317"/>
      <c r="F60" s="172" t="str">
        <f>IF('2.1 Absorciones árboles'!E56=0,"",'2.1 Absorciones árboles'!E56)</f>
        <v/>
      </c>
      <c r="G60" s="188" t="str">
        <f t="shared" si="8"/>
        <v/>
      </c>
      <c r="H60" s="189" t="str">
        <f>IF('2.2 Emisiones restos corta'!I65="","",'2.2 Emisiones restos corta'!I65)</f>
        <v/>
      </c>
      <c r="I60" s="97"/>
      <c r="J60" s="96" t="str">
        <f t="shared" si="0"/>
        <v>Bb&lt;2iBf-</v>
      </c>
      <c r="K60" s="97"/>
      <c r="L60" s="96" t="str">
        <f t="shared" si="1"/>
        <v>Bb&gt;2-</v>
      </c>
      <c r="M60" s="97"/>
      <c r="N60" s="92" t="str">
        <f t="shared" si="2"/>
        <v>Bt-</v>
      </c>
      <c r="O60" s="172" t="str">
        <f>IF(I60="Vida útil corta (&lt;2 años)",((INDEX(Dades_PA!$B$45:$Y$71,(MATCH(F60,Espècies,0)),(MATCH(J60,Dades_PA!$B$44:$Y$44,0))))*H60*(Dades_PA!$B$142/100)),IF(I60="Vida útil media (&lt;10 años)",((INDEX(Dades_PA!$B$45:$Y$71,(MATCH(F60,Espècies,0)),(MATCH(J60,Dades_PA!$B$44:$Y$44,0))))*H60*(Dades_PA!$B$143/100)),IF(I60="Vida útil larga (&gt;30 años)",Dades_PA!$B$144,IF(I60="No se obtiene producto",Dades_PA!$B$145,""))))</f>
        <v/>
      </c>
      <c r="P60" s="172" t="str">
        <f>IF(K60="Vida útil corta (&lt;2 años)",((INDEX(Dades_PA!$B$45:$Y$71,(MATCH(F60,Espècies,0)),(MATCH(L60,Dades_PA!$B$44:$Y$44,0))))*H60*(Dades_PA!$B$142/100)),IF(K60="Vida útil media (&lt;10 años)",((INDEX(Dades_PA!$B$45:$Y$71,(MATCH(F60,Espècies,0)),(MATCH(L60,Dades_PA!$B$44:$Y$44,0))))*H60*(Dades_PA!$B$143/100)),IF(K60="Vida útil larga (&gt;30 años)",Dades_PA!$B$144,IF(K60="No se obtiene producto",Dades_PA!$B$145,""))))</f>
        <v/>
      </c>
      <c r="Q60" s="172" t="str">
        <f>IF(M60="Vida útil corta (&lt;2 años)",((INDEX(Dades_PA!$B$45:$Y$71,(MATCH(F60,Espècies,0)),(MATCH(N60,Dades_PA!$B$44:$Y$44,0))))*H60*(Dades_PA!$B$142/100)),IF(M60="Vida útil media (&lt;10 años)",((INDEX(Dades_PA!$B$45:$Y$71,(MATCH(F60,Espècies,0)),(MATCH(N60,Dades_PA!$B$44:$Y$44,0))))*H60*(Dades_PA!$B$143/100)),IF(M60="Vida útil larga (&gt;30 años)",Dades_PA!$B$144,IF(M60="No se obtiene producto",Dades_PA!$B$145,""))))</f>
        <v/>
      </c>
      <c r="R60" s="110" t="str">
        <f t="shared" si="3"/>
        <v/>
      </c>
    </row>
    <row r="61" spans="5:18" ht="16.5" customHeight="1" thickBot="1" x14ac:dyDescent="0.35">
      <c r="E61" s="379" t="s">
        <v>7</v>
      </c>
      <c r="F61" s="373" t="s">
        <v>6</v>
      </c>
      <c r="G61" s="373" t="s">
        <v>6</v>
      </c>
      <c r="H61" s="380">
        <f>SUM(H11:H60)</f>
        <v>0</v>
      </c>
      <c r="I61" s="373" t="s">
        <v>6</v>
      </c>
      <c r="J61" s="373"/>
      <c r="K61" s="373" t="s">
        <v>6</v>
      </c>
      <c r="L61" s="373"/>
      <c r="M61" s="373" t="s">
        <v>6</v>
      </c>
      <c r="N61" s="373"/>
      <c r="O61" s="381">
        <f>SUM(O11:O60)</f>
        <v>0</v>
      </c>
      <c r="P61" s="381">
        <f t="shared" ref="P61:R61" si="9">SUM(P11:P60)</f>
        <v>0</v>
      </c>
      <c r="Q61" s="381">
        <f t="shared" si="9"/>
        <v>0</v>
      </c>
      <c r="R61" s="391">
        <f t="shared" si="9"/>
        <v>0</v>
      </c>
    </row>
    <row r="62" spans="5:18" ht="16.5" customHeight="1" x14ac:dyDescent="0.25"/>
    <row r="63" spans="5:18" ht="16.5" customHeight="1" x14ac:dyDescent="0.25">
      <c r="E63" s="332" t="s">
        <v>160</v>
      </c>
      <c r="F63" s="333"/>
      <c r="G63" s="333"/>
      <c r="H63" s="333"/>
      <c r="I63" s="333"/>
      <c r="J63" s="333"/>
      <c r="K63" s="333"/>
      <c r="L63" s="333"/>
      <c r="M63" s="333"/>
      <c r="N63" s="333"/>
      <c r="O63" s="333"/>
      <c r="P63" s="333"/>
      <c r="Q63" s="333"/>
      <c r="R63" s="334"/>
    </row>
    <row r="64" spans="5:18" x14ac:dyDescent="0.25">
      <c r="E64" s="335"/>
      <c r="F64" s="336"/>
      <c r="G64" s="336"/>
      <c r="H64" s="336"/>
      <c r="I64" s="336"/>
      <c r="J64" s="336"/>
      <c r="K64" s="336"/>
      <c r="L64" s="336"/>
      <c r="M64" s="336"/>
      <c r="N64" s="336"/>
      <c r="O64" s="336"/>
      <c r="P64" s="336"/>
      <c r="Q64" s="336"/>
      <c r="R64" s="337"/>
    </row>
    <row r="65" spans="5:18" x14ac:dyDescent="0.25">
      <c r="E65" s="338"/>
      <c r="F65" s="339"/>
      <c r="G65" s="339"/>
      <c r="H65" s="339"/>
      <c r="I65" s="339"/>
      <c r="J65" s="339"/>
      <c r="K65" s="339"/>
      <c r="L65" s="339"/>
      <c r="M65" s="339"/>
      <c r="N65" s="339"/>
      <c r="O65" s="339"/>
      <c r="P65" s="339"/>
      <c r="Q65" s="339"/>
      <c r="R65" s="340"/>
    </row>
    <row r="110" ht="15" customHeight="1" x14ac:dyDescent="0.25"/>
  </sheetData>
  <sheetProtection sheet="1" objects="1" scenarios="1"/>
  <mergeCells count="22">
    <mergeCell ref="E63:R65"/>
    <mergeCell ref="C1:S1"/>
    <mergeCell ref="E31:E40"/>
    <mergeCell ref="E41:E50"/>
    <mergeCell ref="E51:E60"/>
    <mergeCell ref="H9:H10"/>
    <mergeCell ref="G9:G10"/>
    <mergeCell ref="R9:R10"/>
    <mergeCell ref="E11:E20"/>
    <mergeCell ref="E21:E30"/>
    <mergeCell ref="F9:F10"/>
    <mergeCell ref="E9:E10"/>
    <mergeCell ref="E3:R8"/>
    <mergeCell ref="I9:I10"/>
    <mergeCell ref="K9:K10"/>
    <mergeCell ref="M9:M10"/>
    <mergeCell ref="O9:O10"/>
    <mergeCell ref="P9:P10"/>
    <mergeCell ref="Q9:Q10"/>
    <mergeCell ref="J9:J10"/>
    <mergeCell ref="L9:L10"/>
    <mergeCell ref="N9:N10"/>
  </mergeCells>
  <dataValidations count="2">
    <dataValidation allowBlank="1" showInputMessage="1" showErrorMessage="1" error="Any incorrecte" sqref="G11:G60" xr:uid="{00000000-0002-0000-0600-000000000000}"/>
    <dataValidation type="list" allowBlank="1" showInputMessage="1" showErrorMessage="1" sqref="I11:I60 M11:M60 K11:K60" xr:uid="{00000000-0002-0000-0600-000001000000}">
      <formula1>Producte</formula1>
    </dataValidation>
  </dataValidations>
  <hyperlinks>
    <hyperlink ref="A5" location="'2.1 Absorciones árboles'!A1" display="2.1. Cápsula 1.1: Absorciones de los árboles" xr:uid="{00000000-0004-0000-0600-000000000000}"/>
    <hyperlink ref="A7" location="'2.3 Emisiones maquinaria'!A1" display="2.3. Cápsula 2.2: Emisiones de vehículos y maquinaria" xr:uid="{00000000-0004-0000-0600-000001000000}"/>
    <hyperlink ref="A8" location="'2.4 Emisiones quema restos'!A1" display="2.4. Cápsula 2.3: Emisiones de CH4 y N2O por quema" xr:uid="{00000000-0004-0000-0600-000002000000}"/>
    <hyperlink ref="A9" location="'2.5 Emisiones productos'!A1" display="2.5. Cápsula 2.4: Emisiones de los productos madereros" xr:uid="{00000000-0004-0000-0600-000003000000}"/>
    <hyperlink ref="A10" location="'3. Resultados'!A1" display="3. Resultados de absorciones del proyecto" xr:uid="{00000000-0004-0000-0600-000004000000}"/>
    <hyperlink ref="A6" location="'2.2 Emisiones restos corta'!A1" display="2.2. Cápsula 2.1: Emisiones de CO2 por descomposición y quema" xr:uid="{00000000-0004-0000-0600-000005000000}"/>
    <hyperlink ref="A4" location="'1. Datos generales del proyecto'!A1" display="1. Datos del proyecto" xr:uid="{00000000-0004-0000-0600-000006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1">
    <pageSetUpPr autoPageBreaks="0" fitToPage="1"/>
  </sheetPr>
  <dimension ref="A1:AMN62"/>
  <sheetViews>
    <sheetView zoomScale="90" zoomScaleNormal="90" workbookViewId="0">
      <pane xSplit="1" topLeftCell="B1" activePane="topRight" state="frozen"/>
      <selection activeCell="A52" sqref="A52"/>
      <selection pane="topRight" activeCell="M27" sqref="M27"/>
    </sheetView>
  </sheetViews>
  <sheetFormatPr baseColWidth="10" defaultColWidth="11.42578125" defaultRowHeight="16.5" x14ac:dyDescent="0.3"/>
  <cols>
    <col min="1" max="1" width="55.7109375" style="2" customWidth="1"/>
    <col min="2" max="2" width="1.85546875" style="2" customWidth="1"/>
    <col min="3" max="3" width="2.140625" style="1" customWidth="1"/>
    <col min="4" max="4" width="1.28515625" style="1" customWidth="1"/>
    <col min="5" max="5" width="17.85546875" style="1" customWidth="1"/>
    <col min="6" max="6" width="11.85546875" style="1" customWidth="1"/>
    <col min="7" max="7" width="15" style="1" customWidth="1"/>
    <col min="8" max="8" width="16.85546875" style="14" customWidth="1"/>
    <col min="9" max="9" width="11.42578125" style="14" customWidth="1"/>
    <col min="10" max="10" width="8.7109375" style="14" customWidth="1"/>
    <col min="11" max="11" width="4" style="14" customWidth="1"/>
    <col min="12" max="12" width="5.140625" style="14" customWidth="1"/>
    <col min="13" max="13" width="15.5703125" style="14" customWidth="1"/>
    <col min="14" max="14" width="22.42578125" style="14" customWidth="1"/>
    <col min="15" max="15" width="17" style="14" customWidth="1"/>
    <col min="16" max="16" width="17.42578125" style="14" customWidth="1"/>
    <col min="17" max="17" width="9.85546875" style="14" customWidth="1"/>
    <col min="18" max="18" width="7.140625" style="1" customWidth="1"/>
    <col min="19" max="19" width="26.7109375" style="1" customWidth="1"/>
    <col min="20" max="20" width="8.85546875" style="1" customWidth="1"/>
    <col min="21" max="21" width="8.28515625" style="1" customWidth="1"/>
    <col min="22" max="22" width="21" style="1" customWidth="1"/>
    <col min="23" max="23" width="4" style="1" customWidth="1"/>
    <col min="24" max="24" width="3.140625" style="1" customWidth="1"/>
    <col min="25" max="25" width="1.85546875" style="13" customWidth="1"/>
    <col min="26" max="27" width="11.42578125" style="13"/>
    <col min="28" max="28" width="0" style="13" hidden="1" customWidth="1"/>
    <col min="29" max="35" width="11.42578125" style="13"/>
    <col min="36" max="1028" width="11.42578125" style="1"/>
  </cols>
  <sheetData>
    <row r="1" spans="1:24" s="6" customFormat="1" ht="40.700000000000003" customHeight="1" x14ac:dyDescent="0.25">
      <c r="A1" s="2"/>
      <c r="B1" s="3"/>
      <c r="C1" s="295" t="s">
        <v>161</v>
      </c>
      <c r="D1" s="295"/>
      <c r="E1" s="295"/>
      <c r="F1" s="295"/>
      <c r="G1" s="295"/>
      <c r="H1" s="295"/>
      <c r="I1" s="295"/>
      <c r="J1" s="295"/>
      <c r="K1" s="295"/>
      <c r="L1" s="295"/>
      <c r="M1" s="295"/>
      <c r="N1" s="295"/>
      <c r="O1" s="295"/>
      <c r="P1" s="295"/>
      <c r="Q1" s="295"/>
      <c r="R1" s="295"/>
      <c r="S1" s="295"/>
      <c r="T1" s="295"/>
      <c r="U1" s="295"/>
      <c r="V1" s="295"/>
      <c r="W1" s="295"/>
      <c r="X1" s="295"/>
    </row>
    <row r="2" spans="1:24" s="6" customFormat="1" ht="40.700000000000003" customHeight="1" x14ac:dyDescent="0.25">
      <c r="A2" s="2"/>
      <c r="B2" s="3"/>
      <c r="R2" s="7"/>
      <c r="S2" s="7"/>
      <c r="T2" s="7"/>
      <c r="U2" s="7"/>
      <c r="V2" s="7"/>
      <c r="W2" s="7"/>
    </row>
    <row r="3" spans="1:24" s="6" customFormat="1" ht="15.75" customHeight="1" x14ac:dyDescent="0.2">
      <c r="A3" s="5"/>
      <c r="B3" s="4"/>
      <c r="E3" s="360" t="s">
        <v>93</v>
      </c>
      <c r="F3" s="360"/>
      <c r="G3" s="360"/>
      <c r="H3" s="361" t="str">
        <f>IF('1. Datos generales del proyecto'!G21="","",'1. Datos generales del proyecto'!G21)</f>
        <v/>
      </c>
      <c r="I3" s="361"/>
      <c r="J3" s="361"/>
      <c r="K3" s="361"/>
      <c r="L3" s="361"/>
      <c r="M3" s="361"/>
      <c r="N3" s="361"/>
      <c r="O3" s="361"/>
      <c r="P3" s="361"/>
      <c r="Q3" s="361"/>
      <c r="R3" s="361"/>
      <c r="S3" s="361"/>
      <c r="T3" s="361"/>
      <c r="U3" s="361"/>
      <c r="V3" s="361"/>
    </row>
    <row r="4" spans="1:24" s="6" customFormat="1" ht="15.75" customHeight="1" x14ac:dyDescent="0.3">
      <c r="A4" s="144" t="s">
        <v>85</v>
      </c>
      <c r="B4" s="4"/>
      <c r="E4" s="66"/>
      <c r="F4" s="66"/>
      <c r="G4" s="66"/>
      <c r="H4" s="67"/>
      <c r="I4" s="65"/>
      <c r="J4" s="65"/>
      <c r="K4" s="65"/>
      <c r="L4" s="65"/>
      <c r="M4" s="65"/>
      <c r="N4" s="65"/>
      <c r="O4" s="65"/>
      <c r="P4" s="65"/>
      <c r="Q4" s="67"/>
      <c r="R4" s="68"/>
      <c r="S4" s="68"/>
      <c r="T4" s="67"/>
      <c r="U4" s="65"/>
      <c r="V4" s="65"/>
    </row>
    <row r="5" spans="1:24" s="6" customFormat="1" ht="15.75" customHeight="1" x14ac:dyDescent="0.3">
      <c r="A5" s="144" t="s">
        <v>86</v>
      </c>
      <c r="B5" s="4"/>
      <c r="E5" s="360" t="s">
        <v>94</v>
      </c>
      <c r="F5" s="360"/>
      <c r="G5" s="360"/>
      <c r="H5" s="362" t="str">
        <f>IF('1. Datos generales del proyecto'!D24="","",'1. Datos generales del proyecto'!D24)</f>
        <v/>
      </c>
      <c r="I5" s="362"/>
      <c r="J5" s="362"/>
      <c r="K5" s="362"/>
      <c r="L5" s="362"/>
      <c r="M5" s="362"/>
      <c r="N5" s="362"/>
      <c r="O5" s="362"/>
      <c r="P5" s="362"/>
      <c r="Q5" s="362"/>
      <c r="R5" s="68"/>
      <c r="S5" s="125" t="s">
        <v>65</v>
      </c>
      <c r="T5" s="361" t="str">
        <f>IF('1. Datos generales del proyecto'!K24="","",'1. Datos generales del proyecto'!K24)</f>
        <v/>
      </c>
      <c r="U5" s="361"/>
      <c r="V5" s="361"/>
    </row>
    <row r="6" spans="1:24" s="6" customFormat="1" ht="15.75" customHeight="1" x14ac:dyDescent="0.35">
      <c r="A6" s="144" t="s">
        <v>266</v>
      </c>
      <c r="B6" s="4"/>
      <c r="E6" s="15"/>
      <c r="F6" s="15"/>
      <c r="G6" s="16"/>
      <c r="H6" s="11"/>
      <c r="I6" s="11"/>
      <c r="J6" s="11"/>
      <c r="K6" s="72"/>
      <c r="L6" s="72"/>
      <c r="M6" s="11"/>
      <c r="N6" s="11"/>
      <c r="O6" s="11"/>
      <c r="P6" s="11"/>
      <c r="Q6" s="11"/>
      <c r="R6" s="11"/>
      <c r="S6" s="11"/>
      <c r="T6" s="11"/>
      <c r="U6" s="11"/>
      <c r="V6" s="11"/>
      <c r="W6" s="11"/>
    </row>
    <row r="7" spans="1:24" s="6" customFormat="1" ht="15.75" customHeight="1" x14ac:dyDescent="0.3">
      <c r="A7" s="144" t="s">
        <v>87</v>
      </c>
      <c r="B7" s="4"/>
      <c r="E7" s="360" t="s">
        <v>95</v>
      </c>
      <c r="F7" s="360"/>
      <c r="G7" s="360"/>
      <c r="H7" s="363" t="str">
        <f>IF('1. Datos generales del proyecto'!D27="","",'1. Datos generales del proyecto'!D27)</f>
        <v/>
      </c>
      <c r="I7" s="363"/>
      <c r="J7" s="363"/>
      <c r="K7" s="67"/>
      <c r="L7" s="67"/>
      <c r="M7" s="360" t="s">
        <v>96</v>
      </c>
      <c r="N7" s="360"/>
      <c r="O7" s="361" t="str">
        <f>IF('1. Datos generales del proyecto'!G27="","",'1. Datos generales del proyecto'!G27)</f>
        <v/>
      </c>
      <c r="P7" s="361"/>
      <c r="Q7" s="361"/>
      <c r="R7" s="65"/>
      <c r="S7" s="125" t="s">
        <v>97</v>
      </c>
      <c r="T7" s="361" t="str">
        <f>IF('1. Datos generales del proyecto'!K27="","",'1. Datos generales del proyecto'!K27)</f>
        <v/>
      </c>
      <c r="U7" s="361"/>
      <c r="V7" s="361"/>
    </row>
    <row r="8" spans="1:24" s="6" customFormat="1" ht="15.75" customHeight="1" x14ac:dyDescent="0.35">
      <c r="A8" s="144" t="s">
        <v>267</v>
      </c>
      <c r="B8" s="4"/>
      <c r="E8" s="70"/>
      <c r="F8" s="70"/>
      <c r="G8" s="70"/>
      <c r="H8" s="71"/>
      <c r="I8" s="71"/>
      <c r="J8" s="69"/>
      <c r="K8" s="65"/>
      <c r="L8" s="65"/>
      <c r="M8" s="69"/>
      <c r="N8" s="69"/>
      <c r="O8" s="69"/>
      <c r="P8" s="69"/>
      <c r="Q8" s="69"/>
      <c r="R8" s="65"/>
      <c r="S8" s="69"/>
      <c r="T8" s="69"/>
      <c r="U8" s="69"/>
      <c r="V8" s="69"/>
    </row>
    <row r="9" spans="1:24" s="6" customFormat="1" ht="15.75" customHeight="1" x14ac:dyDescent="0.3">
      <c r="A9" s="144" t="s">
        <v>88</v>
      </c>
      <c r="B9" s="4"/>
      <c r="E9" s="360" t="s">
        <v>162</v>
      </c>
      <c r="F9" s="360"/>
      <c r="G9" s="360"/>
      <c r="H9" s="364" t="str">
        <f>'1. Datos generales del proyecto'!H36:I36</f>
        <v/>
      </c>
      <c r="I9" s="364"/>
      <c r="J9" s="364"/>
      <c r="K9" s="65"/>
      <c r="L9" s="65"/>
      <c r="M9" s="360" t="s">
        <v>163</v>
      </c>
      <c r="N9" s="360"/>
      <c r="O9" s="365" t="str">
        <f>IF(('2.1 Absorciones árboles'!I57)=0,"",('2.1 Absorciones árboles'!I57))</f>
        <v/>
      </c>
      <c r="P9" s="361"/>
      <c r="Q9" s="361"/>
      <c r="R9" s="65"/>
      <c r="S9" s="125" t="s">
        <v>107</v>
      </c>
      <c r="T9" s="365" t="str">
        <f>IF((MAX('1. Datos generales del proyecto'!L31:M35))-(MIN('1. Datos generales del proyecto'!J31:K35))=0,"",(MAX('1. Datos generales del proyecto'!L31:M35))-(MIN('1. Datos generales del proyecto'!J31:K35)))</f>
        <v/>
      </c>
      <c r="U9" s="361"/>
      <c r="V9" s="361"/>
    </row>
    <row r="10" spans="1:24" ht="15.75" customHeight="1" x14ac:dyDescent="0.3">
      <c r="A10" s="144" t="s">
        <v>89</v>
      </c>
      <c r="B10" s="4"/>
      <c r="E10" s="15"/>
      <c r="F10" s="15"/>
      <c r="G10" s="16"/>
      <c r="H10" s="11"/>
      <c r="I10" s="11"/>
      <c r="J10" s="11"/>
      <c r="K10" s="11"/>
      <c r="L10" s="11"/>
      <c r="M10" s="11"/>
      <c r="N10" s="11"/>
      <c r="O10" s="11"/>
      <c r="P10" s="11"/>
      <c r="Q10" s="11"/>
      <c r="R10" s="11"/>
      <c r="S10" s="11"/>
      <c r="T10" s="11"/>
      <c r="U10" s="11"/>
      <c r="V10" s="11"/>
      <c r="W10" s="11"/>
    </row>
    <row r="11" spans="1:24" ht="15.75" customHeight="1" x14ac:dyDescent="0.3">
      <c r="A11" s="5"/>
      <c r="D11" s="354" t="s">
        <v>174</v>
      </c>
      <c r="E11" s="354"/>
      <c r="F11" s="354"/>
      <c r="G11" s="354"/>
      <c r="H11" s="354"/>
      <c r="I11" s="354"/>
      <c r="J11" s="354"/>
      <c r="K11" s="354"/>
      <c r="L11" s="354"/>
      <c r="M11" s="354"/>
      <c r="N11" s="354"/>
      <c r="O11" s="354"/>
      <c r="P11" s="354"/>
      <c r="Q11" s="354"/>
      <c r="R11" s="354"/>
      <c r="S11" s="354"/>
      <c r="T11" s="354"/>
      <c r="U11" s="354"/>
      <c r="V11" s="354"/>
      <c r="W11" s="354"/>
    </row>
    <row r="12" spans="1:24" s="6" customFormat="1" ht="16.5" customHeight="1" x14ac:dyDescent="0.25">
      <c r="A12" s="5"/>
      <c r="B12" s="2"/>
      <c r="E12" s="19"/>
      <c r="F12" s="19"/>
      <c r="G12" s="19"/>
      <c r="H12" s="19"/>
      <c r="I12" s="19"/>
      <c r="J12" s="19"/>
      <c r="K12" s="19"/>
      <c r="L12" s="19"/>
      <c r="M12" s="19"/>
      <c r="N12" s="20"/>
      <c r="O12" s="19"/>
      <c r="P12" s="19"/>
      <c r="Q12" s="19"/>
      <c r="R12" s="11"/>
      <c r="S12" s="11"/>
      <c r="T12" s="11"/>
      <c r="U12" s="11"/>
      <c r="V12" s="11"/>
      <c r="W12" s="11"/>
    </row>
    <row r="13" spans="1:24" s="6" customFormat="1" ht="16.5" customHeight="1" x14ac:dyDescent="0.25">
      <c r="A13" s="5"/>
      <c r="B13" s="2"/>
      <c r="E13" s="19"/>
      <c r="F13" s="19"/>
      <c r="G13" s="19"/>
      <c r="H13" s="19"/>
      <c r="I13" s="19"/>
      <c r="J13" s="19"/>
      <c r="K13" s="19"/>
      <c r="L13" s="19"/>
      <c r="M13" s="19"/>
      <c r="N13" s="19"/>
      <c r="O13" s="19"/>
      <c r="P13" s="19"/>
      <c r="Q13" s="19"/>
      <c r="R13" s="11"/>
      <c r="S13" s="11"/>
      <c r="T13" s="11"/>
      <c r="U13" s="11"/>
      <c r="V13" s="11"/>
      <c r="W13" s="11"/>
    </row>
    <row r="14" spans="1:24" s="6" customFormat="1" ht="16.5" customHeight="1" x14ac:dyDescent="0.25">
      <c r="A14" s="5"/>
      <c r="B14" s="2"/>
      <c r="E14" s="19"/>
      <c r="F14" s="19"/>
      <c r="G14" s="19"/>
      <c r="H14" s="19"/>
      <c r="I14" s="19"/>
      <c r="J14" s="19"/>
      <c r="K14" s="19"/>
      <c r="L14" s="19"/>
      <c r="M14" s="19"/>
      <c r="N14" s="19"/>
      <c r="O14" s="19"/>
      <c r="P14" s="19"/>
      <c r="Q14" s="19"/>
      <c r="R14" s="11"/>
      <c r="S14" s="11"/>
      <c r="T14" s="11"/>
      <c r="U14" s="11"/>
      <c r="V14" s="11"/>
      <c r="W14" s="11"/>
    </row>
    <row r="15" spans="1:24" s="6" customFormat="1" ht="16.5" customHeight="1" x14ac:dyDescent="0.25">
      <c r="A15" s="5"/>
      <c r="B15" s="2"/>
      <c r="E15" s="19"/>
      <c r="F15" s="19"/>
      <c r="G15" s="19"/>
      <c r="H15" s="19"/>
      <c r="I15" s="19"/>
      <c r="J15" s="19"/>
      <c r="K15" s="19"/>
      <c r="L15" s="19"/>
      <c r="M15" s="19"/>
      <c r="N15" s="19"/>
      <c r="O15" s="19"/>
      <c r="P15" s="19"/>
      <c r="Q15" s="19"/>
      <c r="R15" s="11"/>
      <c r="S15" s="11"/>
      <c r="T15" s="11"/>
      <c r="U15" s="11"/>
      <c r="V15" s="11"/>
      <c r="W15" s="11"/>
    </row>
    <row r="16" spans="1:24" s="6" customFormat="1" ht="15.75" customHeight="1" x14ac:dyDescent="0.25">
      <c r="A16" s="5"/>
      <c r="B16" s="2"/>
      <c r="E16" s="101"/>
      <c r="F16" s="372" t="s">
        <v>164</v>
      </c>
      <c r="G16" s="372"/>
      <c r="H16" s="372"/>
      <c r="I16" s="372" t="s">
        <v>68</v>
      </c>
      <c r="J16" s="372"/>
      <c r="K16" s="372" t="s">
        <v>69</v>
      </c>
      <c r="L16" s="372"/>
      <c r="M16" s="372"/>
      <c r="N16" s="124" t="s">
        <v>70</v>
      </c>
      <c r="O16" s="124" t="s">
        <v>71</v>
      </c>
      <c r="P16" s="19"/>
      <c r="Q16" s="19"/>
      <c r="R16" s="11"/>
      <c r="S16" s="11"/>
      <c r="T16" s="11"/>
      <c r="U16" s="11"/>
      <c r="V16" s="11"/>
      <c r="W16" s="11"/>
    </row>
    <row r="17" spans="1:24" s="6" customFormat="1" ht="15.75" customHeight="1" x14ac:dyDescent="0.25">
      <c r="A17" s="5"/>
      <c r="B17" s="2"/>
      <c r="E17" s="124" t="s">
        <v>165</v>
      </c>
      <c r="F17" s="124" t="s">
        <v>66</v>
      </c>
      <c r="G17" s="370" t="s">
        <v>169</v>
      </c>
      <c r="H17" s="370"/>
      <c r="I17" s="371">
        <f>'2.1 Absorciones árboles'!K57</f>
        <v>0</v>
      </c>
      <c r="J17" s="371"/>
      <c r="K17" s="371" t="s">
        <v>6</v>
      </c>
      <c r="L17" s="371"/>
      <c r="M17" s="371"/>
      <c r="N17" s="103" t="s">
        <v>6</v>
      </c>
      <c r="O17" s="102">
        <f>IFERROR(I17/1000,"")</f>
        <v>0</v>
      </c>
      <c r="P17" s="11"/>
      <c r="Q17" s="11"/>
      <c r="R17" s="11"/>
      <c r="S17" s="11"/>
      <c r="T17" s="11"/>
      <c r="U17" s="11"/>
      <c r="V17" s="11"/>
      <c r="W17" s="11"/>
    </row>
    <row r="18" spans="1:24" s="6" customFormat="1" ht="15.75" customHeight="1" x14ac:dyDescent="0.25">
      <c r="A18" s="5"/>
      <c r="B18" s="2"/>
      <c r="E18" s="372" t="s">
        <v>166</v>
      </c>
      <c r="F18" s="124" t="s">
        <v>0</v>
      </c>
      <c r="G18" s="370" t="s">
        <v>170</v>
      </c>
      <c r="H18" s="370"/>
      <c r="I18" s="371">
        <f>'2.2 Emisiones restos corta'!V66</f>
        <v>0</v>
      </c>
      <c r="J18" s="371"/>
      <c r="K18" s="371" t="s">
        <v>6</v>
      </c>
      <c r="L18" s="371"/>
      <c r="M18" s="371"/>
      <c r="N18" s="103" t="s">
        <v>6</v>
      </c>
      <c r="O18" s="102">
        <f>IFERROR(I18/1000,"")</f>
        <v>0</v>
      </c>
    </row>
    <row r="19" spans="1:24" s="6" customFormat="1" ht="15.75" customHeight="1" x14ac:dyDescent="0.25">
      <c r="A19" s="5"/>
      <c r="B19" s="2"/>
      <c r="E19" s="372"/>
      <c r="F19" s="124" t="s">
        <v>1</v>
      </c>
      <c r="G19" s="370" t="s">
        <v>171</v>
      </c>
      <c r="H19" s="370"/>
      <c r="I19" s="371">
        <f>'2.3 Emisiones maquinaria'!I60</f>
        <v>0</v>
      </c>
      <c r="J19" s="371"/>
      <c r="K19" s="371">
        <f>'2.3 Emisiones maquinaria'!J60</f>
        <v>0</v>
      </c>
      <c r="L19" s="371"/>
      <c r="M19" s="371"/>
      <c r="N19" s="103">
        <f>'2.3 Emisiones maquinaria'!K60</f>
        <v>0</v>
      </c>
      <c r="O19" s="103">
        <f>IFERROR(((I19/1000)+((K19*Dades_PA!B135)/1000000)+(('3. Resultados'!N19*Dades_PA!B136)/1000000)),"")</f>
        <v>0</v>
      </c>
    </row>
    <row r="20" spans="1:24" s="6" customFormat="1" ht="15.75" customHeight="1" x14ac:dyDescent="0.25">
      <c r="A20" s="5"/>
      <c r="B20" s="2"/>
      <c r="E20" s="372"/>
      <c r="F20" s="124" t="s">
        <v>48</v>
      </c>
      <c r="G20" s="370" t="s">
        <v>172</v>
      </c>
      <c r="H20" s="370"/>
      <c r="I20" s="371" t="s">
        <v>6</v>
      </c>
      <c r="J20" s="371"/>
      <c r="K20" s="371">
        <f>('2.4 Emisiones quema restos'!O57+'2.4 Emisiones quema restos'!Q57+'2.4 Emisiones quema restos'!S57)</f>
        <v>0</v>
      </c>
      <c r="L20" s="371"/>
      <c r="M20" s="371"/>
      <c r="N20" s="103">
        <f>('2.4 Emisiones quema restos'!P57+'2.4 Emisiones quema restos'!R57+'2.4 Emisiones quema restos'!T57)</f>
        <v>0</v>
      </c>
      <c r="O20" s="102">
        <f>IFERROR((((K20*Dades_PA!B135)+('3. Resultados'!N20*Dades_PA!B136))/1000000),"")</f>
        <v>0</v>
      </c>
      <c r="P20" s="21"/>
      <c r="Q20" s="21"/>
      <c r="R20" s="21"/>
      <c r="S20" s="21"/>
      <c r="T20" s="21"/>
      <c r="U20" s="21"/>
      <c r="V20" s="21"/>
      <c r="W20" s="21"/>
      <c r="X20" s="21"/>
    </row>
    <row r="21" spans="1:24" s="6" customFormat="1" ht="15.75" customHeight="1" x14ac:dyDescent="0.25">
      <c r="A21" s="5"/>
      <c r="B21" s="2"/>
      <c r="E21" s="372"/>
      <c r="F21" s="124" t="s">
        <v>49</v>
      </c>
      <c r="G21" s="370" t="s">
        <v>173</v>
      </c>
      <c r="H21" s="370"/>
      <c r="I21" s="371">
        <f>'2.5 Emisiones productos'!R61</f>
        <v>0</v>
      </c>
      <c r="J21" s="371"/>
      <c r="K21" s="371" t="s">
        <v>6</v>
      </c>
      <c r="L21" s="371"/>
      <c r="M21" s="371"/>
      <c r="N21" s="103" t="s">
        <v>6</v>
      </c>
      <c r="O21" s="102">
        <f>IFERROR((I21/1000),"")</f>
        <v>0</v>
      </c>
      <c r="P21" s="21"/>
      <c r="Q21" s="21"/>
      <c r="R21" s="21"/>
      <c r="S21" s="21"/>
      <c r="T21" s="21"/>
      <c r="U21" s="21"/>
      <c r="V21" s="21"/>
      <c r="W21" s="21"/>
      <c r="X21" s="21"/>
    </row>
    <row r="22" spans="1:24" s="6" customFormat="1" ht="3" customHeight="1" x14ac:dyDescent="0.3">
      <c r="A22" s="5"/>
      <c r="B22" s="2"/>
      <c r="E22" s="22"/>
      <c r="F22" s="22"/>
      <c r="G22" s="11"/>
      <c r="H22" s="11"/>
      <c r="I22" s="104"/>
      <c r="J22" s="104"/>
      <c r="K22" s="104"/>
      <c r="L22" s="104"/>
      <c r="M22" s="105"/>
      <c r="N22" s="73"/>
      <c r="O22" s="73"/>
      <c r="P22" s="17"/>
      <c r="Q22" s="17"/>
      <c r="R22" s="11"/>
      <c r="S22" s="11"/>
      <c r="T22" s="11"/>
      <c r="U22" s="11"/>
      <c r="V22" s="11"/>
      <c r="W22" s="11"/>
    </row>
    <row r="23" spans="1:24" s="6" customFormat="1" ht="16.5" customHeight="1" x14ac:dyDescent="0.25">
      <c r="A23" s="5"/>
      <c r="B23" s="2"/>
      <c r="E23" s="370" t="s">
        <v>167</v>
      </c>
      <c r="F23" s="350" t="s">
        <v>165</v>
      </c>
      <c r="G23" s="351"/>
      <c r="H23" s="352"/>
      <c r="I23" s="353">
        <f>I17</f>
        <v>0</v>
      </c>
      <c r="J23" s="353"/>
      <c r="K23" s="353" t="s">
        <v>6</v>
      </c>
      <c r="L23" s="353"/>
      <c r="M23" s="353"/>
      <c r="N23" s="102" t="s">
        <v>6</v>
      </c>
      <c r="O23" s="102">
        <f>O17</f>
        <v>0</v>
      </c>
      <c r="P23" s="17"/>
      <c r="Q23" s="17"/>
      <c r="R23" s="11"/>
      <c r="S23" s="11"/>
      <c r="T23" s="11"/>
      <c r="U23" s="11"/>
      <c r="V23" s="11"/>
      <c r="W23" s="11"/>
    </row>
    <row r="24" spans="1:24" s="6" customFormat="1" ht="16.5" customHeight="1" x14ac:dyDescent="0.25">
      <c r="A24" s="5"/>
      <c r="B24" s="2"/>
      <c r="E24" s="370"/>
      <c r="F24" s="350" t="s">
        <v>166</v>
      </c>
      <c r="G24" s="351"/>
      <c r="H24" s="352"/>
      <c r="I24" s="353">
        <f>I18+I19+I21</f>
        <v>0</v>
      </c>
      <c r="J24" s="353"/>
      <c r="K24" s="353">
        <f>K19+K20</f>
        <v>0</v>
      </c>
      <c r="L24" s="353"/>
      <c r="M24" s="353"/>
      <c r="N24" s="102">
        <f>N19+N20</f>
        <v>0</v>
      </c>
      <c r="O24" s="102">
        <f>IFERROR((O18+O19+O20+O21),"")</f>
        <v>0</v>
      </c>
      <c r="P24" s="17"/>
      <c r="Q24" s="17"/>
      <c r="R24" s="11"/>
      <c r="S24" s="11"/>
      <c r="T24" s="11"/>
      <c r="U24" s="11"/>
      <c r="V24" s="11"/>
      <c r="W24" s="11"/>
    </row>
    <row r="25" spans="1:24" x14ac:dyDescent="0.3">
      <c r="A25" s="5"/>
      <c r="E25" s="347" t="s">
        <v>168</v>
      </c>
      <c r="F25" s="348"/>
      <c r="G25" s="348"/>
      <c r="H25" s="349"/>
      <c r="I25" s="359">
        <f>IFERROR((I23-I24),"")</f>
        <v>0</v>
      </c>
      <c r="J25" s="359"/>
      <c r="K25" s="359">
        <f>IFERROR(-K24,"")</f>
        <v>0</v>
      </c>
      <c r="L25" s="359"/>
      <c r="M25" s="359"/>
      <c r="N25" s="106">
        <f>IFERROR(-N24,"")</f>
        <v>0</v>
      </c>
      <c r="O25" s="106">
        <f>IFERROR((O23-O24),"")</f>
        <v>0</v>
      </c>
      <c r="P25" s="17"/>
      <c r="Q25" s="17"/>
      <c r="R25" s="11"/>
      <c r="S25" s="11"/>
      <c r="T25" s="11"/>
      <c r="U25" s="11"/>
      <c r="V25" s="11"/>
      <c r="W25" s="11"/>
    </row>
    <row r="26" spans="1:24" x14ac:dyDescent="0.3">
      <c r="A26" s="5"/>
      <c r="E26" s="11"/>
      <c r="F26" s="11"/>
      <c r="G26" s="11"/>
      <c r="H26" s="11"/>
      <c r="I26" s="18"/>
      <c r="J26" s="18"/>
      <c r="K26" s="11"/>
      <c r="L26" s="11"/>
      <c r="M26" s="6"/>
      <c r="N26" s="17"/>
      <c r="O26" s="24"/>
      <c r="P26" s="17"/>
      <c r="Q26" s="17"/>
      <c r="R26" s="11"/>
      <c r="S26" s="11"/>
      <c r="T26" s="11"/>
      <c r="U26" s="11"/>
      <c r="V26" s="11"/>
      <c r="W26" s="11"/>
    </row>
    <row r="27" spans="1:24" x14ac:dyDescent="0.3">
      <c r="A27" s="5"/>
      <c r="E27" s="11"/>
      <c r="F27" s="11"/>
      <c r="G27" s="11"/>
      <c r="H27" s="11"/>
      <c r="I27" s="18"/>
      <c r="J27" s="18"/>
      <c r="K27" s="11"/>
      <c r="L27" s="11"/>
      <c r="M27" s="6"/>
      <c r="N27" s="17"/>
      <c r="O27" s="24"/>
      <c r="P27" s="17"/>
      <c r="Q27" s="17"/>
      <c r="R27" s="11"/>
      <c r="S27" s="11"/>
      <c r="T27" s="11"/>
      <c r="U27" s="11"/>
      <c r="V27" s="11"/>
      <c r="W27" s="11"/>
    </row>
    <row r="28" spans="1:24" x14ac:dyDescent="0.3">
      <c r="A28" s="5"/>
      <c r="E28" s="11"/>
      <c r="F28" s="11"/>
      <c r="G28" s="11"/>
      <c r="H28" s="11"/>
      <c r="I28" s="18"/>
      <c r="J28" s="18"/>
      <c r="K28" s="11"/>
      <c r="L28" s="11"/>
      <c r="M28" s="6"/>
      <c r="N28" s="17"/>
      <c r="O28" s="24"/>
      <c r="P28" s="17"/>
      <c r="Q28" s="17"/>
      <c r="R28" s="11"/>
      <c r="S28" s="11"/>
      <c r="T28" s="11"/>
      <c r="U28" s="11"/>
      <c r="V28" s="11"/>
      <c r="W28" s="11"/>
    </row>
    <row r="29" spans="1:24" x14ac:dyDescent="0.3">
      <c r="A29" s="5"/>
      <c r="E29" s="11"/>
      <c r="F29" s="11"/>
      <c r="G29" s="11"/>
      <c r="H29" s="11"/>
      <c r="I29" s="18"/>
      <c r="J29" s="18"/>
      <c r="K29" s="11"/>
      <c r="L29" s="11"/>
      <c r="M29" s="6"/>
      <c r="N29" s="17"/>
      <c r="O29" s="24"/>
      <c r="P29" s="17"/>
      <c r="Q29" s="17"/>
      <c r="R29" s="11"/>
      <c r="S29" s="11"/>
      <c r="T29" s="11"/>
      <c r="U29" s="11"/>
      <c r="V29" s="11"/>
      <c r="W29" s="11"/>
    </row>
    <row r="30" spans="1:24" s="6" customFormat="1" ht="11.25" customHeight="1" x14ac:dyDescent="0.25">
      <c r="A30" s="12"/>
      <c r="B30" s="2"/>
      <c r="E30" s="63"/>
      <c r="F30" s="63"/>
      <c r="G30" s="63"/>
      <c r="H30" s="63"/>
      <c r="I30" s="63"/>
      <c r="J30" s="63"/>
      <c r="K30" s="63"/>
      <c r="L30" s="63"/>
      <c r="M30" s="11"/>
      <c r="N30" s="11"/>
      <c r="O30" s="11"/>
      <c r="P30" s="11"/>
      <c r="Q30" s="11"/>
      <c r="R30" s="11"/>
      <c r="S30" s="11"/>
      <c r="T30" s="11"/>
      <c r="U30" s="11"/>
      <c r="V30" s="11"/>
      <c r="W30" s="11"/>
    </row>
    <row r="31" spans="1:24" s="6" customFormat="1" ht="17.25" customHeight="1" x14ac:dyDescent="0.25">
      <c r="A31" s="12"/>
      <c r="B31" s="2"/>
      <c r="D31" s="354" t="s">
        <v>175</v>
      </c>
      <c r="E31" s="354"/>
      <c r="F31" s="354"/>
      <c r="G31" s="354"/>
      <c r="H31" s="354"/>
      <c r="I31" s="354"/>
      <c r="J31" s="354"/>
      <c r="K31" s="354"/>
      <c r="L31" s="354"/>
      <c r="M31" s="354"/>
      <c r="N31" s="354"/>
      <c r="O31" s="354"/>
      <c r="P31" s="354"/>
      <c r="Q31" s="354"/>
      <c r="R31" s="354"/>
      <c r="S31" s="354"/>
      <c r="T31" s="354"/>
      <c r="U31" s="354"/>
      <c r="V31" s="354"/>
      <c r="W31" s="354"/>
    </row>
    <row r="32" spans="1:24" s="6" customFormat="1" ht="16.5" customHeight="1" x14ac:dyDescent="0.25">
      <c r="A32" s="12"/>
      <c r="B32" s="2"/>
      <c r="E32" s="11"/>
      <c r="F32" s="11"/>
      <c r="G32" s="11"/>
      <c r="H32" s="11"/>
      <c r="I32" s="11"/>
      <c r="J32" s="11"/>
      <c r="K32" s="11"/>
      <c r="L32" s="11"/>
      <c r="M32" s="14"/>
      <c r="N32" s="14"/>
      <c r="O32" s="14"/>
      <c r="P32" s="14"/>
      <c r="Q32" s="14"/>
      <c r="R32" s="14"/>
      <c r="S32" s="14"/>
      <c r="T32" s="11"/>
      <c r="U32" s="11"/>
      <c r="V32" s="11"/>
      <c r="W32" s="11"/>
    </row>
    <row r="33" spans="1:19" ht="4.5" customHeight="1" x14ac:dyDescent="0.3">
      <c r="E33" s="137"/>
      <c r="F33" s="138"/>
      <c r="G33" s="139"/>
      <c r="H33" s="140"/>
      <c r="I33" s="141"/>
      <c r="J33" s="355"/>
      <c r="K33" s="356"/>
      <c r="L33" s="11"/>
      <c r="R33" s="14"/>
      <c r="S33" s="14"/>
    </row>
    <row r="34" spans="1:19" ht="18" customHeight="1" x14ac:dyDescent="0.3">
      <c r="A34" s="6"/>
      <c r="B34" s="6"/>
      <c r="E34" s="368" t="s">
        <v>176</v>
      </c>
      <c r="F34" s="369"/>
      <c r="G34" s="369"/>
      <c r="H34" s="107">
        <f>IFERROR(O25,"")</f>
        <v>0</v>
      </c>
      <c r="I34" s="345" t="s">
        <v>72</v>
      </c>
      <c r="J34" s="345"/>
      <c r="K34" s="346"/>
      <c r="L34" s="11"/>
      <c r="R34" s="14"/>
      <c r="S34" s="14"/>
    </row>
    <row r="35" spans="1:19" ht="4.5" customHeight="1" x14ac:dyDescent="0.3">
      <c r="A35" s="6"/>
      <c r="B35" s="6"/>
      <c r="E35" s="126"/>
      <c r="F35" s="127"/>
      <c r="G35" s="128"/>
      <c r="H35" s="143"/>
      <c r="I35" s="134"/>
      <c r="J35" s="357"/>
      <c r="K35" s="358"/>
      <c r="L35" s="11"/>
      <c r="R35" s="14"/>
      <c r="S35" s="14"/>
    </row>
    <row r="36" spans="1:19" ht="18" customHeight="1" x14ac:dyDescent="0.3">
      <c r="A36" s="6"/>
      <c r="B36" s="6"/>
      <c r="E36" s="368" t="s">
        <v>177</v>
      </c>
      <c r="F36" s="369"/>
      <c r="G36" s="369"/>
      <c r="H36" s="107">
        <f>IFERROR(H34*18%,"")</f>
        <v>0</v>
      </c>
      <c r="I36" s="345" t="s">
        <v>72</v>
      </c>
      <c r="J36" s="345"/>
      <c r="K36" s="346"/>
      <c r="L36" s="11"/>
      <c r="R36" s="14"/>
      <c r="S36" s="14"/>
    </row>
    <row r="37" spans="1:19" ht="4.5" customHeight="1" x14ac:dyDescent="0.3">
      <c r="A37" s="6"/>
      <c r="B37" s="6"/>
      <c r="E37" s="129"/>
      <c r="F37" s="130"/>
      <c r="G37" s="131"/>
      <c r="H37" s="143"/>
      <c r="I37" s="135"/>
      <c r="J37" s="357"/>
      <c r="K37" s="358"/>
      <c r="L37" s="11"/>
      <c r="R37" s="14"/>
      <c r="S37" s="14"/>
    </row>
    <row r="38" spans="1:19" ht="18" customHeight="1" x14ac:dyDescent="0.3">
      <c r="A38" s="6"/>
      <c r="B38" s="6"/>
      <c r="E38" s="368" t="s">
        <v>178</v>
      </c>
      <c r="F38" s="369"/>
      <c r="G38" s="369"/>
      <c r="H38" s="107">
        <f>IFERROR(H34*2%,"")</f>
        <v>0</v>
      </c>
      <c r="I38" s="345" t="s">
        <v>72</v>
      </c>
      <c r="J38" s="345"/>
      <c r="K38" s="346"/>
      <c r="L38" s="11"/>
      <c r="R38" s="14"/>
      <c r="S38" s="14"/>
    </row>
    <row r="39" spans="1:19" ht="4.5" customHeight="1" x14ac:dyDescent="0.3">
      <c r="A39" s="6"/>
      <c r="B39" s="6"/>
      <c r="E39" s="132"/>
      <c r="F39" s="133"/>
      <c r="G39" s="133"/>
      <c r="H39" s="142"/>
      <c r="I39" s="136"/>
      <c r="J39" s="366"/>
      <c r="K39" s="367"/>
      <c r="L39" s="11"/>
      <c r="R39" s="14"/>
      <c r="S39" s="14"/>
    </row>
    <row r="40" spans="1:19" x14ac:dyDescent="0.3">
      <c r="D40" s="13"/>
      <c r="E40" s="13"/>
      <c r="F40" s="13"/>
      <c r="G40" s="13"/>
      <c r="R40" s="14"/>
      <c r="S40" s="14"/>
    </row>
    <row r="41" spans="1:19" x14ac:dyDescent="0.3">
      <c r="D41" s="13"/>
      <c r="E41" s="13"/>
      <c r="F41" s="13"/>
      <c r="G41" s="13"/>
      <c r="R41" s="14"/>
      <c r="S41" s="14"/>
    </row>
    <row r="42" spans="1:19" x14ac:dyDescent="0.3">
      <c r="D42" s="13"/>
      <c r="E42" s="201"/>
      <c r="F42" s="201"/>
      <c r="G42" s="201"/>
      <c r="H42" s="202"/>
      <c r="I42" s="202"/>
      <c r="J42" s="202"/>
      <c r="K42" s="202"/>
      <c r="L42" s="202"/>
      <c r="M42" s="202"/>
      <c r="N42" s="202"/>
      <c r="O42" s="202"/>
      <c r="R42" s="14"/>
      <c r="S42" s="14"/>
    </row>
    <row r="43" spans="1:19" ht="16.5" customHeight="1" x14ac:dyDescent="0.3">
      <c r="D43" s="13"/>
      <c r="E43" s="74"/>
      <c r="F43" s="74"/>
      <c r="G43" s="74"/>
      <c r="H43" s="75"/>
      <c r="I43" s="75"/>
      <c r="J43" s="75"/>
      <c r="K43" s="75"/>
      <c r="L43" s="75"/>
      <c r="M43" s="75"/>
      <c r="N43" s="202"/>
      <c r="O43" s="202"/>
      <c r="R43" s="13"/>
      <c r="S43" s="201"/>
    </row>
    <row r="44" spans="1:19" ht="16.5" customHeight="1" x14ac:dyDescent="0.35">
      <c r="D44" s="13"/>
      <c r="E44" s="74"/>
      <c r="F44" s="74" t="s">
        <v>180</v>
      </c>
      <c r="G44" s="74" t="s">
        <v>183</v>
      </c>
      <c r="H44" s="75" t="s">
        <v>181</v>
      </c>
      <c r="I44" s="75" t="s">
        <v>184</v>
      </c>
      <c r="J44" s="75" t="s">
        <v>182</v>
      </c>
      <c r="K44" s="75"/>
      <c r="L44" s="75"/>
      <c r="M44" s="75"/>
      <c r="N44" s="202"/>
      <c r="O44" s="202"/>
      <c r="R44" s="13"/>
      <c r="S44" s="13"/>
    </row>
    <row r="45" spans="1:19" ht="16.5" customHeight="1" x14ac:dyDescent="0.3">
      <c r="D45" s="13"/>
      <c r="E45" s="74" t="s">
        <v>165</v>
      </c>
      <c r="F45" s="76">
        <f>O17</f>
        <v>0</v>
      </c>
      <c r="G45" s="74"/>
      <c r="H45" s="75"/>
      <c r="I45" s="75"/>
      <c r="J45" s="75"/>
      <c r="K45" s="75"/>
      <c r="L45" s="75"/>
      <c r="M45" s="75"/>
      <c r="N45" s="202"/>
      <c r="O45" s="202"/>
      <c r="R45" s="13"/>
      <c r="S45" s="13"/>
    </row>
    <row r="46" spans="1:19" x14ac:dyDescent="0.3">
      <c r="D46" s="13"/>
      <c r="E46" s="74" t="s">
        <v>166</v>
      </c>
      <c r="F46" s="74"/>
      <c r="G46" s="76">
        <f>O18</f>
        <v>0</v>
      </c>
      <c r="H46" s="77">
        <f>O19</f>
        <v>0</v>
      </c>
      <c r="I46" s="77">
        <f>O20</f>
        <v>0</v>
      </c>
      <c r="J46" s="77">
        <f>O21</f>
        <v>0</v>
      </c>
      <c r="K46" s="75"/>
      <c r="L46" s="75"/>
      <c r="M46" s="75"/>
      <c r="N46" s="202"/>
      <c r="O46" s="202"/>
      <c r="R46" s="13"/>
      <c r="S46" s="13"/>
    </row>
    <row r="47" spans="1:19" ht="16.5" customHeight="1" x14ac:dyDescent="0.3">
      <c r="D47" s="13"/>
      <c r="E47" s="74" t="s">
        <v>179</v>
      </c>
      <c r="F47" s="76">
        <f>O25</f>
        <v>0</v>
      </c>
      <c r="G47" s="74"/>
      <c r="H47" s="75"/>
      <c r="I47" s="75"/>
      <c r="J47" s="75"/>
      <c r="K47" s="75"/>
      <c r="L47" s="75"/>
      <c r="M47" s="75"/>
      <c r="N47" s="202"/>
      <c r="O47" s="202"/>
      <c r="R47" s="13"/>
      <c r="S47" s="13"/>
    </row>
    <row r="48" spans="1:19" x14ac:dyDescent="0.3">
      <c r="D48" s="13"/>
      <c r="E48" s="212"/>
      <c r="F48" s="212"/>
      <c r="G48" s="212"/>
      <c r="H48" s="213"/>
      <c r="I48" s="213"/>
      <c r="J48" s="213"/>
      <c r="K48" s="213"/>
      <c r="L48" s="213"/>
      <c r="M48" s="213"/>
      <c r="N48" s="202"/>
      <c r="O48" s="202"/>
      <c r="R48" s="13"/>
      <c r="S48" s="13"/>
    </row>
    <row r="49" spans="3:19" ht="17.25" customHeight="1" x14ac:dyDescent="0.3">
      <c r="C49" s="14"/>
      <c r="D49" s="14"/>
      <c r="E49" s="202"/>
      <c r="F49" s="202"/>
      <c r="G49" s="202"/>
      <c r="H49" s="202"/>
      <c r="I49" s="202"/>
      <c r="J49" s="202"/>
      <c r="K49" s="202"/>
      <c r="L49" s="202"/>
      <c r="M49" s="202"/>
      <c r="N49" s="202"/>
      <c r="O49" s="202"/>
      <c r="R49" s="13"/>
      <c r="S49" s="13"/>
    </row>
    <row r="50" spans="3:19" x14ac:dyDescent="0.3">
      <c r="C50" s="14"/>
      <c r="D50" s="14"/>
      <c r="E50" s="202"/>
      <c r="F50" s="202"/>
      <c r="G50" s="202"/>
      <c r="H50" s="202"/>
      <c r="I50" s="202"/>
      <c r="J50" s="202"/>
      <c r="K50" s="202"/>
      <c r="L50" s="202"/>
      <c r="M50" s="202"/>
      <c r="N50" s="202"/>
      <c r="O50" s="202"/>
      <c r="R50" s="13"/>
      <c r="S50" s="13"/>
    </row>
    <row r="51" spans="3:19" x14ac:dyDescent="0.3">
      <c r="C51" s="14"/>
      <c r="D51" s="14"/>
      <c r="E51" s="202"/>
      <c r="F51" s="202"/>
      <c r="G51" s="202"/>
      <c r="H51" s="202"/>
      <c r="I51" s="202"/>
      <c r="J51" s="202"/>
      <c r="K51" s="202"/>
      <c r="L51" s="202"/>
      <c r="M51" s="202"/>
      <c r="N51" s="202"/>
      <c r="O51" s="202"/>
      <c r="R51" s="13"/>
      <c r="S51" s="13"/>
    </row>
    <row r="52" spans="3:19" x14ac:dyDescent="0.3">
      <c r="C52" s="14"/>
      <c r="D52" s="14"/>
      <c r="E52" s="202"/>
      <c r="F52" s="202"/>
      <c r="G52" s="202"/>
      <c r="H52" s="202"/>
      <c r="I52" s="202"/>
      <c r="J52" s="202"/>
      <c r="K52" s="202"/>
      <c r="L52" s="202"/>
      <c r="M52" s="202"/>
      <c r="N52" s="202"/>
      <c r="O52" s="202"/>
      <c r="R52" s="13"/>
      <c r="S52" s="13"/>
    </row>
    <row r="53" spans="3:19" x14ac:dyDescent="0.3">
      <c r="C53" s="14"/>
      <c r="D53" s="14"/>
      <c r="E53" s="202"/>
      <c r="F53" s="202"/>
      <c r="G53" s="202"/>
      <c r="H53" s="202"/>
      <c r="I53" s="202"/>
      <c r="J53" s="202"/>
      <c r="K53" s="202"/>
      <c r="L53" s="202"/>
      <c r="M53" s="202"/>
      <c r="N53" s="202"/>
      <c r="O53" s="202"/>
      <c r="R53" s="13"/>
      <c r="S53" s="13"/>
    </row>
    <row r="54" spans="3:19" x14ac:dyDescent="0.3">
      <c r="C54" s="14"/>
      <c r="D54" s="14"/>
      <c r="E54" s="14"/>
      <c r="F54" s="14"/>
      <c r="G54" s="14"/>
      <c r="R54" s="13"/>
      <c r="S54" s="13"/>
    </row>
    <row r="55" spans="3:19" x14ac:dyDescent="0.3">
      <c r="C55" s="14"/>
      <c r="D55" s="14"/>
      <c r="E55" s="14"/>
      <c r="F55" s="14"/>
      <c r="G55" s="14"/>
      <c r="R55" s="13"/>
      <c r="S55" s="13"/>
    </row>
    <row r="56" spans="3:19" x14ac:dyDescent="0.3">
      <c r="D56" s="13"/>
      <c r="E56" s="13"/>
      <c r="F56" s="13"/>
      <c r="G56" s="13"/>
      <c r="R56" s="13"/>
      <c r="S56" s="13"/>
    </row>
    <row r="57" spans="3:19" x14ac:dyDescent="0.3">
      <c r="D57" s="13"/>
      <c r="E57" s="13"/>
      <c r="F57" s="13"/>
      <c r="G57" s="13"/>
      <c r="R57" s="13"/>
      <c r="S57" s="13"/>
    </row>
    <row r="58" spans="3:19" x14ac:dyDescent="0.3">
      <c r="D58" s="13"/>
      <c r="E58" s="13"/>
      <c r="F58" s="13"/>
      <c r="G58" s="13"/>
      <c r="R58" s="13"/>
      <c r="S58" s="13"/>
    </row>
    <row r="59" spans="3:19" x14ac:dyDescent="0.3">
      <c r="D59" s="13"/>
      <c r="E59" s="13"/>
      <c r="F59" s="13"/>
      <c r="G59" s="13"/>
      <c r="R59" s="13"/>
      <c r="S59" s="13"/>
    </row>
    <row r="60" spans="3:19" x14ac:dyDescent="0.3">
      <c r="D60" s="13"/>
      <c r="E60" s="13"/>
      <c r="F60" s="13"/>
      <c r="G60" s="13"/>
      <c r="R60" s="13"/>
      <c r="S60" s="13"/>
    </row>
    <row r="61" spans="3:19" x14ac:dyDescent="0.3">
      <c r="D61" s="13"/>
      <c r="E61" s="13"/>
      <c r="F61" s="13"/>
      <c r="G61" s="13"/>
      <c r="R61" s="13"/>
      <c r="S61" s="13"/>
    </row>
    <row r="62" spans="3:19" x14ac:dyDescent="0.3">
      <c r="D62" s="13"/>
      <c r="E62" s="13"/>
      <c r="F62" s="13"/>
      <c r="G62" s="13"/>
      <c r="R62" s="13"/>
      <c r="S62" s="13"/>
    </row>
  </sheetData>
  <sheetProtection sheet="1" objects="1" scenarios="1"/>
  <mergeCells count="57">
    <mergeCell ref="K20:M20"/>
    <mergeCell ref="K21:M21"/>
    <mergeCell ref="K23:M23"/>
    <mergeCell ref="E23:E24"/>
    <mergeCell ref="D11:W11"/>
    <mergeCell ref="K24:M24"/>
    <mergeCell ref="I16:J16"/>
    <mergeCell ref="K16:M16"/>
    <mergeCell ref="G20:H20"/>
    <mergeCell ref="I20:J20"/>
    <mergeCell ref="G21:H21"/>
    <mergeCell ref="I21:J21"/>
    <mergeCell ref="E18:E21"/>
    <mergeCell ref="F16:H16"/>
    <mergeCell ref="J39:K39"/>
    <mergeCell ref="E34:G34"/>
    <mergeCell ref="E36:G36"/>
    <mergeCell ref="E38:G38"/>
    <mergeCell ref="C1:X1"/>
    <mergeCell ref="E3:G3"/>
    <mergeCell ref="E7:G7"/>
    <mergeCell ref="G17:H17"/>
    <mergeCell ref="I17:J17"/>
    <mergeCell ref="G18:H18"/>
    <mergeCell ref="I18:J18"/>
    <mergeCell ref="G19:H19"/>
    <mergeCell ref="I19:J19"/>
    <mergeCell ref="K17:M17"/>
    <mergeCell ref="K18:M18"/>
    <mergeCell ref="K19:M19"/>
    <mergeCell ref="E9:G9"/>
    <mergeCell ref="H9:J9"/>
    <mergeCell ref="M9:N9"/>
    <mergeCell ref="O9:Q9"/>
    <mergeCell ref="T9:V9"/>
    <mergeCell ref="E5:G5"/>
    <mergeCell ref="H3:V3"/>
    <mergeCell ref="H5:Q5"/>
    <mergeCell ref="T5:V5"/>
    <mergeCell ref="H7:J7"/>
    <mergeCell ref="M7:N7"/>
    <mergeCell ref="O7:Q7"/>
    <mergeCell ref="T7:V7"/>
    <mergeCell ref="I36:K36"/>
    <mergeCell ref="I34:K34"/>
    <mergeCell ref="I38:K38"/>
    <mergeCell ref="E25:H25"/>
    <mergeCell ref="F23:H23"/>
    <mergeCell ref="F24:H24"/>
    <mergeCell ref="I24:J24"/>
    <mergeCell ref="I23:J23"/>
    <mergeCell ref="D31:W31"/>
    <mergeCell ref="J33:K33"/>
    <mergeCell ref="J35:K35"/>
    <mergeCell ref="J37:K37"/>
    <mergeCell ref="K25:M25"/>
    <mergeCell ref="I25:J25"/>
  </mergeCells>
  <dataValidations disablePrompts="1" count="1">
    <dataValidation operator="equal" allowBlank="1" showInputMessage="1" showErrorMessage="1" sqref="E32:F32" xr:uid="{00000000-0002-0000-0700-000000000000}"/>
  </dataValidations>
  <hyperlinks>
    <hyperlink ref="A5" location="'2.1 Absorciones árboles'!A1" display="2.1. Cápsula 1.1: Absorciones de los árboles" xr:uid="{00000000-0004-0000-0700-000000000000}"/>
    <hyperlink ref="A7" location="'2.3 Emisiones maquinaria'!A1" display="2.3. Cápsula 2.2: Emisiones de vehículos y maquinaria" xr:uid="{00000000-0004-0000-0700-000001000000}"/>
    <hyperlink ref="A8" location="'2.4 Emisiones quema restos'!A1" display="2.4. Cápsula 2.3: Emisiones de CH4 y N2O por quema" xr:uid="{00000000-0004-0000-0700-000002000000}"/>
    <hyperlink ref="A9" location="'2.5 Emisiones productos'!A1" display="2.5. Cápsula 2.4: Emisiones de los productos madereros" xr:uid="{00000000-0004-0000-0700-000003000000}"/>
    <hyperlink ref="A6" location="'2.2 Emisiones restos corta'!A1" display="2.2. Cápsula 2.1: Emisiones de CO2 por descomposición y quema" xr:uid="{00000000-0004-0000-0700-000004000000}"/>
    <hyperlink ref="A4" location="'1. Datos generales del proyecto'!A1" display="1. Datos del proyecto" xr:uid="{00000000-0004-0000-0700-000005000000}"/>
    <hyperlink ref="A10" location="'3. Resultados'!A1" display="3. Resultados de absorciones del proyecto" xr:uid="{00000000-0004-0000-0700-000006000000}"/>
  </hyperlinks>
  <pageMargins left="0.25" right="0.25" top="0.75" bottom="0.75" header="0.3" footer="0.3"/>
  <pageSetup paperSize="9" scale="56" firstPageNumber="0" fitToHeight="0" orientation="landscape" horizontalDpi="300" verticalDpi="300" r:id="rId1"/>
  <colBreaks count="1" manualBreakCount="1">
    <brk id="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45"/>
  <sheetViews>
    <sheetView topLeftCell="A123" zoomScale="85" zoomScaleNormal="85" workbookViewId="0">
      <selection activeCell="F149" sqref="F149"/>
    </sheetView>
  </sheetViews>
  <sheetFormatPr baseColWidth="10" defaultRowHeight="15" x14ac:dyDescent="0.25"/>
  <cols>
    <col min="1" max="1" width="44.28515625" customWidth="1"/>
    <col min="2" max="2" width="13.7109375" customWidth="1"/>
    <col min="3" max="4" width="13.85546875" customWidth="1"/>
    <col min="5" max="5" width="16.5703125" customWidth="1"/>
    <col min="8" max="8" width="14.7109375" customWidth="1"/>
  </cols>
  <sheetData>
    <row r="1" spans="1:8" x14ac:dyDescent="0.25">
      <c r="A1" s="28" t="s">
        <v>194</v>
      </c>
      <c r="B1" s="29"/>
      <c r="C1" s="29"/>
      <c r="D1" s="29"/>
      <c r="E1" s="29"/>
      <c r="F1" s="29"/>
      <c r="G1" s="29"/>
      <c r="H1" s="29"/>
    </row>
    <row r="2" spans="1:8" x14ac:dyDescent="0.25">
      <c r="A2" s="40"/>
    </row>
    <row r="3" spans="1:8" ht="15.75" thickBot="1" x14ac:dyDescent="0.3">
      <c r="A3" s="41" t="s">
        <v>195</v>
      </c>
    </row>
    <row r="4" spans="1:8" x14ac:dyDescent="0.25">
      <c r="A4" s="30"/>
      <c r="B4" s="31" t="s">
        <v>196</v>
      </c>
      <c r="C4" s="31"/>
      <c r="D4" s="31"/>
      <c r="E4" s="31"/>
      <c r="F4" s="31"/>
      <c r="G4" s="31"/>
      <c r="H4" s="32"/>
    </row>
    <row r="5" spans="1:8" x14ac:dyDescent="0.25">
      <c r="A5" s="33" t="s">
        <v>197</v>
      </c>
      <c r="B5">
        <v>5</v>
      </c>
      <c r="C5">
        <v>10</v>
      </c>
      <c r="D5">
        <v>15</v>
      </c>
      <c r="E5">
        <v>20</v>
      </c>
      <c r="F5">
        <v>25</v>
      </c>
      <c r="G5">
        <v>30</v>
      </c>
      <c r="H5" s="34" t="s">
        <v>13</v>
      </c>
    </row>
    <row r="6" spans="1:8" x14ac:dyDescent="0.25">
      <c r="A6" s="33" t="s">
        <v>198</v>
      </c>
      <c r="B6" s="35">
        <v>0.12</v>
      </c>
      <c r="C6" s="35">
        <v>4.28</v>
      </c>
      <c r="D6" s="35">
        <v>11.39</v>
      </c>
      <c r="E6" s="35">
        <v>25.34</v>
      </c>
      <c r="F6" s="35">
        <v>31.68</v>
      </c>
      <c r="G6" s="35">
        <v>89.36</v>
      </c>
      <c r="H6" s="34" t="s">
        <v>14</v>
      </c>
    </row>
    <row r="7" spans="1:8" x14ac:dyDescent="0.25">
      <c r="A7" s="33" t="s">
        <v>199</v>
      </c>
      <c r="B7" s="35">
        <v>0.05</v>
      </c>
      <c r="C7" s="35">
        <v>1.79</v>
      </c>
      <c r="D7" s="35">
        <v>7.68</v>
      </c>
      <c r="E7" s="35">
        <v>18.61</v>
      </c>
      <c r="F7" s="35">
        <v>35.1</v>
      </c>
      <c r="G7" s="35">
        <v>57.47</v>
      </c>
      <c r="H7" s="34" t="s">
        <v>14</v>
      </c>
    </row>
    <row r="8" spans="1:8" x14ac:dyDescent="0.25">
      <c r="A8" s="33" t="s">
        <v>200</v>
      </c>
      <c r="B8" s="35">
        <v>0.02</v>
      </c>
      <c r="C8" s="35">
        <v>0.81</v>
      </c>
      <c r="D8" s="35">
        <v>3.24</v>
      </c>
      <c r="E8" s="35">
        <v>7.79</v>
      </c>
      <c r="F8" s="35">
        <v>14.87</v>
      </c>
      <c r="G8" s="35">
        <v>24.74</v>
      </c>
      <c r="H8" s="34" t="s">
        <v>14</v>
      </c>
    </row>
    <row r="9" spans="1:8" x14ac:dyDescent="0.25">
      <c r="A9" s="33" t="s">
        <v>201</v>
      </c>
      <c r="B9" s="35">
        <v>0.13</v>
      </c>
      <c r="C9" s="35">
        <v>4.59</v>
      </c>
      <c r="D9" s="35">
        <v>20.96</v>
      </c>
      <c r="E9" s="35">
        <v>51.99</v>
      </c>
      <c r="F9" s="35">
        <v>98.68</v>
      </c>
      <c r="G9" s="35">
        <v>161.12</v>
      </c>
      <c r="H9" s="34" t="s">
        <v>14</v>
      </c>
    </row>
    <row r="10" spans="1:8" x14ac:dyDescent="0.25">
      <c r="A10" s="33" t="s">
        <v>202</v>
      </c>
      <c r="B10" s="35">
        <v>0.16</v>
      </c>
      <c r="C10" s="35">
        <v>5.66</v>
      </c>
      <c r="D10" s="35">
        <v>23.07</v>
      </c>
      <c r="E10" s="35">
        <v>53.29</v>
      </c>
      <c r="F10" s="35">
        <v>96.74</v>
      </c>
      <c r="G10" s="35">
        <v>153.61000000000001</v>
      </c>
      <c r="H10" s="34" t="s">
        <v>14</v>
      </c>
    </row>
    <row r="11" spans="1:8" x14ac:dyDescent="0.25">
      <c r="A11" s="33" t="s">
        <v>203</v>
      </c>
      <c r="B11" s="35">
        <v>0.11</v>
      </c>
      <c r="C11" s="35">
        <v>3.88</v>
      </c>
      <c r="D11" s="35">
        <v>18.3</v>
      </c>
      <c r="E11" s="35">
        <v>42.91</v>
      </c>
      <c r="F11" s="35">
        <v>112.03</v>
      </c>
      <c r="G11" s="35">
        <v>205.17</v>
      </c>
      <c r="H11" s="34" t="s">
        <v>14</v>
      </c>
    </row>
    <row r="12" spans="1:8" x14ac:dyDescent="0.25">
      <c r="A12" s="33" t="s">
        <v>204</v>
      </c>
      <c r="B12" s="35">
        <v>7.0000000000000007E-2</v>
      </c>
      <c r="C12" s="35">
        <v>2.63</v>
      </c>
      <c r="D12" s="35">
        <v>17.329999999999998</v>
      </c>
      <c r="E12" s="35">
        <v>49.93</v>
      </c>
      <c r="F12" s="35">
        <v>100.84</v>
      </c>
      <c r="G12" s="35">
        <v>171.9</v>
      </c>
      <c r="H12" s="34" t="s">
        <v>14</v>
      </c>
    </row>
    <row r="13" spans="1:8" x14ac:dyDescent="0.25">
      <c r="A13" s="33" t="s">
        <v>205</v>
      </c>
      <c r="B13" s="35">
        <v>0.16</v>
      </c>
      <c r="C13" s="35">
        <v>5.75</v>
      </c>
      <c r="D13" s="35">
        <v>25.62</v>
      </c>
      <c r="E13" s="35">
        <v>61.96</v>
      </c>
      <c r="F13" s="35">
        <v>77.45</v>
      </c>
      <c r="G13" s="35">
        <v>92.94</v>
      </c>
      <c r="H13" s="34" t="s">
        <v>14</v>
      </c>
    </row>
    <row r="14" spans="1:8" x14ac:dyDescent="0.25">
      <c r="A14" s="33" t="s">
        <v>206</v>
      </c>
      <c r="B14" s="35">
        <v>0.11</v>
      </c>
      <c r="C14" s="35">
        <v>3.88</v>
      </c>
      <c r="D14" s="35">
        <v>18.3</v>
      </c>
      <c r="E14" s="35">
        <v>42.91</v>
      </c>
      <c r="F14" s="35">
        <v>112.03</v>
      </c>
      <c r="G14" s="35">
        <v>205.17</v>
      </c>
      <c r="H14" s="34" t="s">
        <v>14</v>
      </c>
    </row>
    <row r="15" spans="1:8" x14ac:dyDescent="0.25">
      <c r="A15" s="33" t="s">
        <v>207</v>
      </c>
      <c r="B15">
        <v>0.24</v>
      </c>
      <c r="C15">
        <v>8.4700000000000006</v>
      </c>
      <c r="D15">
        <v>12.22</v>
      </c>
      <c r="E15">
        <v>16.98</v>
      </c>
      <c r="F15">
        <v>22.89</v>
      </c>
      <c r="G15">
        <v>30.09</v>
      </c>
      <c r="H15" s="34" t="s">
        <v>15</v>
      </c>
    </row>
    <row r="16" spans="1:8" x14ac:dyDescent="0.25">
      <c r="A16" s="33" t="s">
        <v>208</v>
      </c>
      <c r="B16" s="35">
        <v>0.11</v>
      </c>
      <c r="C16" s="35">
        <v>3.88</v>
      </c>
      <c r="D16" s="35">
        <v>18.3</v>
      </c>
      <c r="E16" s="35">
        <v>42.91</v>
      </c>
      <c r="F16" s="35">
        <v>112.03</v>
      </c>
      <c r="G16" s="35">
        <v>205.17</v>
      </c>
      <c r="H16" s="34" t="s">
        <v>14</v>
      </c>
    </row>
    <row r="17" spans="1:8" x14ac:dyDescent="0.25">
      <c r="A17" s="33" t="s">
        <v>209</v>
      </c>
      <c r="B17" s="35">
        <v>0.11</v>
      </c>
      <c r="C17" s="35">
        <v>3.88</v>
      </c>
      <c r="D17" s="35">
        <v>18.3</v>
      </c>
      <c r="E17" s="35">
        <v>42.91</v>
      </c>
      <c r="F17" s="35">
        <v>112.03</v>
      </c>
      <c r="G17" s="35">
        <v>205.17</v>
      </c>
      <c r="H17" s="34" t="s">
        <v>14</v>
      </c>
    </row>
    <row r="18" spans="1:8" x14ac:dyDescent="0.25">
      <c r="A18" s="33" t="s">
        <v>210</v>
      </c>
      <c r="B18" s="35">
        <v>0.11</v>
      </c>
      <c r="C18" s="35">
        <v>3.88</v>
      </c>
      <c r="D18" s="35">
        <v>18.3</v>
      </c>
      <c r="E18" s="35">
        <v>42.91</v>
      </c>
      <c r="F18" s="35">
        <v>112.03</v>
      </c>
      <c r="G18" s="35">
        <v>205.17</v>
      </c>
      <c r="H18" s="34" t="s">
        <v>14</v>
      </c>
    </row>
    <row r="19" spans="1:8" x14ac:dyDescent="0.25">
      <c r="A19" s="33" t="s">
        <v>211</v>
      </c>
      <c r="B19" s="35">
        <v>0.11</v>
      </c>
      <c r="C19" s="35">
        <v>3.88</v>
      </c>
      <c r="D19" s="35">
        <v>18.260000000000002</v>
      </c>
      <c r="E19" s="35">
        <v>39</v>
      </c>
      <c r="F19" s="35">
        <v>48.74</v>
      </c>
      <c r="G19" s="35">
        <v>84.08</v>
      </c>
      <c r="H19" s="34" t="s">
        <v>14</v>
      </c>
    </row>
    <row r="20" spans="1:8" x14ac:dyDescent="0.25">
      <c r="A20" s="33" t="s">
        <v>212</v>
      </c>
      <c r="B20" s="35">
        <v>0.15</v>
      </c>
      <c r="C20" s="35">
        <v>5.29</v>
      </c>
      <c r="D20" s="35">
        <v>29.63</v>
      </c>
      <c r="E20" s="35">
        <v>77.28</v>
      </c>
      <c r="F20" s="35">
        <v>149.59</v>
      </c>
      <c r="G20" s="35">
        <v>246.68</v>
      </c>
      <c r="H20" s="34" t="s">
        <v>14</v>
      </c>
    </row>
    <row r="21" spans="1:8" x14ac:dyDescent="0.25">
      <c r="A21" s="33" t="s">
        <v>213</v>
      </c>
      <c r="B21" s="35">
        <v>0.05</v>
      </c>
      <c r="C21" s="35">
        <v>1.91</v>
      </c>
      <c r="D21" s="35">
        <v>7.49</v>
      </c>
      <c r="E21" s="35">
        <v>17.55</v>
      </c>
      <c r="F21" s="35">
        <v>32.58</v>
      </c>
      <c r="G21" s="35">
        <v>52.89</v>
      </c>
      <c r="H21" s="34" t="s">
        <v>15</v>
      </c>
    </row>
    <row r="22" spans="1:8" x14ac:dyDescent="0.25">
      <c r="A22" s="33" t="s">
        <v>215</v>
      </c>
      <c r="B22" s="35">
        <v>0.36</v>
      </c>
      <c r="C22" s="35">
        <v>12.91</v>
      </c>
      <c r="D22" s="35">
        <v>32.909999999999997</v>
      </c>
      <c r="E22" s="35">
        <v>64.14</v>
      </c>
      <c r="F22" s="35">
        <v>107.47</v>
      </c>
      <c r="G22" s="35">
        <v>163.41</v>
      </c>
      <c r="H22" s="34" t="s">
        <v>15</v>
      </c>
    </row>
    <row r="23" spans="1:8" x14ac:dyDescent="0.25">
      <c r="A23" s="33" t="s">
        <v>214</v>
      </c>
      <c r="B23" s="35">
        <v>0.17</v>
      </c>
      <c r="C23" s="35">
        <v>6.16</v>
      </c>
      <c r="D23" s="35">
        <v>18.899999999999999</v>
      </c>
      <c r="E23" s="35">
        <v>40.36</v>
      </c>
      <c r="F23" s="35">
        <v>71.52</v>
      </c>
      <c r="G23" s="35">
        <v>113.05</v>
      </c>
      <c r="H23" s="34" t="s">
        <v>15</v>
      </c>
    </row>
    <row r="24" spans="1:8" x14ac:dyDescent="0.25">
      <c r="A24" s="33" t="s">
        <v>216</v>
      </c>
      <c r="B24" s="35">
        <v>0.15</v>
      </c>
      <c r="C24" s="35">
        <v>5.45</v>
      </c>
      <c r="D24" s="35">
        <v>26.39</v>
      </c>
      <c r="E24" s="35">
        <v>67.25</v>
      </c>
      <c r="F24" s="35">
        <v>130.13</v>
      </c>
      <c r="G24" s="35">
        <v>215.96</v>
      </c>
      <c r="H24" s="34" t="s">
        <v>14</v>
      </c>
    </row>
    <row r="25" spans="1:8" x14ac:dyDescent="0.25">
      <c r="A25" s="33" t="s">
        <v>217</v>
      </c>
      <c r="B25" s="35">
        <v>1.26</v>
      </c>
      <c r="C25" s="35">
        <v>44.74</v>
      </c>
      <c r="D25" s="35">
        <v>140.32</v>
      </c>
      <c r="E25" s="35">
        <v>294.14</v>
      </c>
      <c r="F25" s="35">
        <v>506.69</v>
      </c>
      <c r="G25" s="35">
        <v>776.65</v>
      </c>
      <c r="H25" s="34" t="s">
        <v>14</v>
      </c>
    </row>
    <row r="26" spans="1:8" x14ac:dyDescent="0.25">
      <c r="A26" s="33" t="s">
        <v>218</v>
      </c>
      <c r="B26" s="35">
        <v>0.12</v>
      </c>
      <c r="C26" s="35">
        <v>4.43</v>
      </c>
      <c r="D26" s="35">
        <v>20.63</v>
      </c>
      <c r="E26" s="35">
        <v>51.46</v>
      </c>
      <c r="F26" s="35">
        <v>98.1</v>
      </c>
      <c r="G26" s="35">
        <v>160.88</v>
      </c>
      <c r="H26" s="34" t="s">
        <v>14</v>
      </c>
    </row>
    <row r="27" spans="1:8" x14ac:dyDescent="0.25">
      <c r="A27" s="33" t="s">
        <v>219</v>
      </c>
      <c r="B27" s="35">
        <v>0.13</v>
      </c>
      <c r="C27" s="35">
        <v>4.68</v>
      </c>
      <c r="D27" s="35">
        <v>21.89</v>
      </c>
      <c r="E27" s="35">
        <v>54.51</v>
      </c>
      <c r="F27" s="35">
        <v>103.56</v>
      </c>
      <c r="G27" s="35">
        <v>169.23</v>
      </c>
      <c r="H27" s="34" t="s">
        <v>14</v>
      </c>
    </row>
    <row r="28" spans="1:8" x14ac:dyDescent="0.25">
      <c r="A28" s="33" t="s">
        <v>220</v>
      </c>
      <c r="B28" s="35">
        <v>0.12</v>
      </c>
      <c r="C28" s="35">
        <v>4.34</v>
      </c>
      <c r="D28" s="35">
        <v>20.49</v>
      </c>
      <c r="E28" s="35">
        <v>51.92</v>
      </c>
      <c r="F28" s="35">
        <v>100.52</v>
      </c>
      <c r="G28" s="35">
        <v>167.29</v>
      </c>
      <c r="H28" s="34" t="s">
        <v>14</v>
      </c>
    </row>
    <row r="29" spans="1:8" x14ac:dyDescent="0.25">
      <c r="A29" s="33" t="s">
        <v>221</v>
      </c>
      <c r="B29">
        <v>0.08</v>
      </c>
      <c r="C29">
        <v>2.69</v>
      </c>
      <c r="D29">
        <v>10.43</v>
      </c>
      <c r="E29">
        <v>21.95</v>
      </c>
      <c r="F29">
        <v>36.75</v>
      </c>
      <c r="G29">
        <v>54.54</v>
      </c>
      <c r="H29" s="34" t="s">
        <v>15</v>
      </c>
    </row>
    <row r="30" spans="1:8" x14ac:dyDescent="0.25">
      <c r="A30" s="33" t="s">
        <v>222</v>
      </c>
      <c r="B30" s="35">
        <v>0.17</v>
      </c>
      <c r="C30" s="35">
        <v>6.08</v>
      </c>
      <c r="D30" s="35">
        <v>26.85</v>
      </c>
      <c r="E30" s="35">
        <v>62.99</v>
      </c>
      <c r="F30" s="35">
        <v>113.86</v>
      </c>
      <c r="G30" s="35">
        <v>178.87</v>
      </c>
      <c r="H30" s="34" t="s">
        <v>14</v>
      </c>
    </row>
    <row r="31" spans="1:8" x14ac:dyDescent="0.25">
      <c r="A31" s="33" t="s">
        <v>224</v>
      </c>
      <c r="B31">
        <v>0.16</v>
      </c>
      <c r="C31">
        <v>5.64</v>
      </c>
      <c r="D31">
        <v>13.02</v>
      </c>
      <c r="E31">
        <v>28.66</v>
      </c>
      <c r="F31">
        <v>66.62</v>
      </c>
      <c r="G31">
        <v>79.94</v>
      </c>
      <c r="H31" s="34" t="s">
        <v>14</v>
      </c>
    </row>
    <row r="32" spans="1:8" ht="15.75" thickBot="1" x14ac:dyDescent="0.3">
      <c r="A32" s="36" t="s">
        <v>223</v>
      </c>
      <c r="B32" s="37">
        <v>0.18</v>
      </c>
      <c r="C32" s="38">
        <v>6.3</v>
      </c>
      <c r="D32" s="37">
        <v>14.54</v>
      </c>
      <c r="E32" s="37">
        <v>31.83</v>
      </c>
      <c r="F32" s="37">
        <v>48.32</v>
      </c>
      <c r="G32" s="37">
        <v>57.98</v>
      </c>
      <c r="H32" s="39" t="s">
        <v>14</v>
      </c>
    </row>
    <row r="34" spans="1:26" x14ac:dyDescent="0.25">
      <c r="A34" s="28" t="s">
        <v>225</v>
      </c>
      <c r="B34" s="29"/>
      <c r="C34" s="29"/>
      <c r="D34" s="29"/>
      <c r="E34" s="29"/>
      <c r="F34" s="29"/>
      <c r="G34" s="29"/>
      <c r="H34" s="29"/>
    </row>
    <row r="36" spans="1:26" ht="15.75" thickBot="1" x14ac:dyDescent="0.3">
      <c r="A36" s="41" t="s">
        <v>226</v>
      </c>
    </row>
    <row r="37" spans="1:26" x14ac:dyDescent="0.25">
      <c r="A37" s="30" t="s">
        <v>193</v>
      </c>
      <c r="B37" s="192" t="s">
        <v>16</v>
      </c>
    </row>
    <row r="38" spans="1:26" x14ac:dyDescent="0.25">
      <c r="A38" s="33" t="s">
        <v>190</v>
      </c>
      <c r="B38" s="53">
        <v>100</v>
      </c>
    </row>
    <row r="39" spans="1:26" x14ac:dyDescent="0.25">
      <c r="A39" s="33" t="s">
        <v>191</v>
      </c>
      <c r="B39" s="53">
        <v>80</v>
      </c>
    </row>
    <row r="40" spans="1:26" ht="15.75" thickBot="1" x14ac:dyDescent="0.3">
      <c r="A40" s="36" t="s">
        <v>192</v>
      </c>
      <c r="B40" s="52" t="s">
        <v>6</v>
      </c>
    </row>
    <row r="42" spans="1:26" ht="15.75" thickBot="1" x14ac:dyDescent="0.3">
      <c r="A42" s="41" t="s">
        <v>227</v>
      </c>
    </row>
    <row r="43" spans="1:26" x14ac:dyDescent="0.25">
      <c r="A43" s="30"/>
      <c r="B43" s="31" t="s">
        <v>228</v>
      </c>
      <c r="C43" s="31"/>
      <c r="D43" s="31"/>
      <c r="E43" s="31"/>
      <c r="F43" s="31"/>
      <c r="G43" s="31"/>
      <c r="H43" s="31"/>
      <c r="I43" s="31"/>
      <c r="J43" s="31"/>
      <c r="K43" s="31"/>
      <c r="L43" s="31"/>
      <c r="M43" s="31"/>
      <c r="N43" s="31"/>
      <c r="O43" s="31"/>
      <c r="P43" s="31"/>
      <c r="Q43" s="31"/>
      <c r="R43" s="31"/>
      <c r="S43" s="31"/>
      <c r="T43" s="31"/>
      <c r="U43" s="31"/>
      <c r="V43" s="31"/>
      <c r="W43" s="31"/>
      <c r="X43" s="31"/>
      <c r="Y43" s="31"/>
      <c r="Z43" s="32"/>
    </row>
    <row r="44" spans="1:26" x14ac:dyDescent="0.25">
      <c r="A44" s="33" t="s">
        <v>197</v>
      </c>
      <c r="B44" t="s">
        <v>17</v>
      </c>
      <c r="C44" t="s">
        <v>19</v>
      </c>
      <c r="D44" t="s">
        <v>18</v>
      </c>
      <c r="E44" t="s">
        <v>20</v>
      </c>
      <c r="F44" t="s">
        <v>21</v>
      </c>
      <c r="G44" t="s">
        <v>22</v>
      </c>
      <c r="H44" t="s">
        <v>23</v>
      </c>
      <c r="I44" t="s">
        <v>24</v>
      </c>
      <c r="J44" t="s">
        <v>25</v>
      </c>
      <c r="K44" t="s">
        <v>26</v>
      </c>
      <c r="L44" t="s">
        <v>27</v>
      </c>
      <c r="M44" t="s">
        <v>28</v>
      </c>
      <c r="N44" t="s">
        <v>29</v>
      </c>
      <c r="O44" t="s">
        <v>30</v>
      </c>
      <c r="P44" t="s">
        <v>31</v>
      </c>
      <c r="Q44" t="s">
        <v>32</v>
      </c>
      <c r="R44" t="s">
        <v>33</v>
      </c>
      <c r="S44" t="s">
        <v>34</v>
      </c>
      <c r="T44" t="s">
        <v>35</v>
      </c>
      <c r="U44" t="s">
        <v>36</v>
      </c>
      <c r="V44" t="s">
        <v>37</v>
      </c>
      <c r="W44" t="s">
        <v>38</v>
      </c>
      <c r="X44" t="s">
        <v>39</v>
      </c>
      <c r="Y44" t="s">
        <v>40</v>
      </c>
      <c r="Z44" s="34" t="s">
        <v>13</v>
      </c>
    </row>
    <row r="45" spans="1:26" x14ac:dyDescent="0.25">
      <c r="A45" s="33" t="s">
        <v>198</v>
      </c>
      <c r="B45" s="54">
        <f>$B$6*32.7%</f>
        <v>3.9239999999999997E-2</v>
      </c>
      <c r="C45" s="54">
        <f>($B$6*67.3%)*52.5%</f>
        <v>4.2398999999999992E-2</v>
      </c>
      <c r="D45" s="54">
        <f>($B$6*67.3%)*35.1%</f>
        <v>2.8346759999999999E-2</v>
      </c>
      <c r="E45" s="54">
        <f>($B$6*67.3%)*12.4%</f>
        <v>1.0014239999999997E-2</v>
      </c>
      <c r="F45" s="54">
        <f>$C$6*32.7%</f>
        <v>1.3995600000000001</v>
      </c>
      <c r="G45" s="54">
        <f>($C$6*67.3%)*52.5%</f>
        <v>1.5122309999999999</v>
      </c>
      <c r="H45" s="54">
        <f>($C$6*67.3%)*35.1%</f>
        <v>1.01103444</v>
      </c>
      <c r="I45" s="54">
        <f>($C$6*67.3%)*12.4%</f>
        <v>0.35717455999999997</v>
      </c>
      <c r="J45" s="54">
        <f>$D$6*32.7%</f>
        <v>3.7245300000000001</v>
      </c>
      <c r="K45" s="54">
        <f>($D$6*67.3%)*52.5%</f>
        <v>4.0243717500000002</v>
      </c>
      <c r="L45" s="54">
        <f>($D$6*67.3%)*35.1%</f>
        <v>2.6905799700000004</v>
      </c>
      <c r="M45" s="54">
        <f>($D$6*67.3%)*12.4%</f>
        <v>0.95051828000000005</v>
      </c>
      <c r="N45" s="54">
        <f>$E$6*32.7%</f>
        <v>8.2861799999999999</v>
      </c>
      <c r="O45" s="54">
        <f>($E$6*67.3%)*52.5%</f>
        <v>8.9532554999999991</v>
      </c>
      <c r="P45" s="54">
        <f>($E$6*67.3%)*35.1%</f>
        <v>5.9858908199999998</v>
      </c>
      <c r="Q45" s="54">
        <f>($E$6*67.3%)*12.4%</f>
        <v>2.1146736799999997</v>
      </c>
      <c r="R45" s="54">
        <f>$F$6*32.7%</f>
        <v>10.359360000000001</v>
      </c>
      <c r="S45" s="54">
        <f>($F$6*67.3%)*52.5%</f>
        <v>11.193335999999999</v>
      </c>
      <c r="T45" s="54">
        <f>($F$6*67.3%)*35.1%</f>
        <v>7.4835446399999999</v>
      </c>
      <c r="U45" s="54">
        <f>($F$6*67.3%)*12.4%</f>
        <v>2.6437593599999998</v>
      </c>
      <c r="V45" s="54">
        <f>$G$6*32.7%</f>
        <v>29.22072</v>
      </c>
      <c r="W45" s="54">
        <f>($G$6*67.3%)*52.5%</f>
        <v>31.573121999999998</v>
      </c>
      <c r="X45" s="54">
        <f>($G$6*67.3%)*35.1%</f>
        <v>21.108887279999998</v>
      </c>
      <c r="Y45" s="54">
        <f>($G$6*67.3%)*12.4%</f>
        <v>7.4572707199999986</v>
      </c>
      <c r="Z45" s="55" t="s">
        <v>14</v>
      </c>
    </row>
    <row r="46" spans="1:26" x14ac:dyDescent="0.25">
      <c r="A46" s="33" t="s">
        <v>199</v>
      </c>
      <c r="B46" s="54">
        <f>$B$7*34.6%</f>
        <v>1.7300000000000003E-2</v>
      </c>
      <c r="C46" s="54">
        <f>($B$7*65.4%)*28.1%</f>
        <v>9.188700000000001E-3</v>
      </c>
      <c r="D46" s="54">
        <f>($B$7*65.4%)*55.6%</f>
        <v>1.8181200000000002E-2</v>
      </c>
      <c r="E46" s="54">
        <f>($B$7*65.4%)*16.3%</f>
        <v>5.3300999999999999E-3</v>
      </c>
      <c r="F46" s="54">
        <f>$C$7*34.6%</f>
        <v>0.61934000000000011</v>
      </c>
      <c r="G46" s="54">
        <f>($C$7*65.4%)*28.1%</f>
        <v>0.32895546000000003</v>
      </c>
      <c r="H46" s="54">
        <f>($C$7*65.4%)*55.6%</f>
        <v>0.65088696000000013</v>
      </c>
      <c r="I46" s="54">
        <f>($C$7*65.4%)*16.3%</f>
        <v>0.19081758000000001</v>
      </c>
      <c r="J46" s="54">
        <f>$D$7*34.6%</f>
        <v>2.6572800000000001</v>
      </c>
      <c r="K46" s="54">
        <f>($D$7*65.4%)*28.1%</f>
        <v>1.41138432</v>
      </c>
      <c r="L46" s="54">
        <f>($D$7*65.4%)*55.6%</f>
        <v>2.7926323200000001</v>
      </c>
      <c r="M46" s="54">
        <f>($D$7*65.4%)*16.3%</f>
        <v>0.81870335999999999</v>
      </c>
      <c r="N46" s="54">
        <f>$E$7*34.6%</f>
        <v>6.4390600000000004</v>
      </c>
      <c r="O46" s="54">
        <f>($E$7*65.4%)*28.1%</f>
        <v>3.4200341400000003</v>
      </c>
      <c r="P46" s="54">
        <f>($E$7*65.4%)*55.6%</f>
        <v>6.7670426400000006</v>
      </c>
      <c r="Q46" s="54">
        <f>($E$7*65.4%)*16.3%</f>
        <v>1.9838632200000001</v>
      </c>
      <c r="R46" s="54">
        <f>$F$7*34.6%</f>
        <v>12.144600000000002</v>
      </c>
      <c r="S46" s="54">
        <f>($F$7*65.4%)*28.1%</f>
        <v>6.4504674000000009</v>
      </c>
      <c r="T46" s="54">
        <f>($F$7*65.4%)*55.6%</f>
        <v>12.763202400000001</v>
      </c>
      <c r="U46" s="54">
        <f>($F$7*65.4%)*16.3%</f>
        <v>3.7417302000000001</v>
      </c>
      <c r="V46" s="54">
        <f>$G$7*34.6%</f>
        <v>19.884620000000002</v>
      </c>
      <c r="W46" s="54">
        <f>($G$7*65.4%)*28.1%</f>
        <v>10.561491780000001</v>
      </c>
      <c r="X46" s="54">
        <f>($G$7*65.4%)*55.6%</f>
        <v>20.897471280000001</v>
      </c>
      <c r="Y46" s="54">
        <f>($G$7*65.4%)*16.3%</f>
        <v>6.1264169400000004</v>
      </c>
      <c r="Z46" s="55" t="s">
        <v>14</v>
      </c>
    </row>
    <row r="47" spans="1:26" x14ac:dyDescent="0.25">
      <c r="A47" s="33" t="s">
        <v>200</v>
      </c>
      <c r="B47" s="54">
        <f>$B$8*22.5%</f>
        <v>4.5000000000000005E-3</v>
      </c>
      <c r="C47" s="54">
        <f>($B$8*77.5%)*41.8%</f>
        <v>6.4790000000000004E-3</v>
      </c>
      <c r="D47" s="54">
        <f>($B$8*77.5%)*53.3%</f>
        <v>8.2614999999999997E-3</v>
      </c>
      <c r="E47" s="54">
        <f>($B$8*77.5%)*4.9%</f>
        <v>7.5950000000000008E-4</v>
      </c>
      <c r="F47" s="54">
        <f>$C$8*22.5%</f>
        <v>0.18225000000000002</v>
      </c>
      <c r="G47" s="54">
        <f>($C$8*77.5%)*41.8%</f>
        <v>0.26239950000000001</v>
      </c>
      <c r="H47" s="54">
        <f>($C$8*77.5%)*53.3%</f>
        <v>0.33459074999999999</v>
      </c>
      <c r="I47" s="54">
        <f>($C$8*77.5%)*4.9%</f>
        <v>3.0759750000000002E-2</v>
      </c>
      <c r="J47" s="54">
        <f>$D$8*22.5%</f>
        <v>0.72900000000000009</v>
      </c>
      <c r="K47" s="54">
        <f>($D$8*77.5%)*41.8%</f>
        <v>1.049598</v>
      </c>
      <c r="L47" s="54">
        <f>($D$8*77.5%)*53.3%</f>
        <v>1.338363</v>
      </c>
      <c r="M47" s="54">
        <f>($D$8*77.5%)*4.9%</f>
        <v>0.12303900000000001</v>
      </c>
      <c r="N47" s="54">
        <f>$E$8*22.5%</f>
        <v>1.75275</v>
      </c>
      <c r="O47" s="54">
        <f>($E$8*77.5%)*41.8%</f>
        <v>2.5235704999999999</v>
      </c>
      <c r="P47" s="54">
        <f>($E$8*77.5%)*53.3%</f>
        <v>3.2178542499999998</v>
      </c>
      <c r="Q47" s="54">
        <f>($E$8*77.5%)*4.9%</f>
        <v>0.29582525000000004</v>
      </c>
      <c r="R47" s="54">
        <f>$F$8*22.5%</f>
        <v>3.3457499999999998</v>
      </c>
      <c r="S47" s="54">
        <f>($F$8*77.5%)*41.8%</f>
        <v>4.8171365000000002</v>
      </c>
      <c r="T47" s="54">
        <f>($F$8*77.5%)*53.3%</f>
        <v>6.1424252499999996</v>
      </c>
      <c r="U47" s="54">
        <f>($F$8*77.5%)*4.9%</f>
        <v>0.56468825</v>
      </c>
      <c r="V47" s="54">
        <f>$G$8*22.5%</f>
        <v>5.5664999999999996</v>
      </c>
      <c r="W47" s="54">
        <f>($G$8*77.5%)*41.8%</f>
        <v>8.0145230000000005</v>
      </c>
      <c r="X47" s="54">
        <f>($G$8*77.5%)*53.3%</f>
        <v>10.219475499999998</v>
      </c>
      <c r="Y47" s="54">
        <f>($G$8*77.5%)*4.9%</f>
        <v>0.9395015000000001</v>
      </c>
      <c r="Z47" s="55" t="s">
        <v>14</v>
      </c>
    </row>
    <row r="48" spans="1:26" x14ac:dyDescent="0.25">
      <c r="A48" s="33" t="s">
        <v>201</v>
      </c>
      <c r="B48" s="54">
        <f>$B$9*32.7%</f>
        <v>4.2510000000000006E-2</v>
      </c>
      <c r="C48" s="54">
        <f>($B$9*67.3%)*52.5%</f>
        <v>4.5932250000000001E-2</v>
      </c>
      <c r="D48" s="54">
        <f>($B$9*67.3%)*35.1%</f>
        <v>3.0708990000000002E-2</v>
      </c>
      <c r="E48" s="54">
        <f>($B$9*67.3%)*12.4%</f>
        <v>1.0848759999999999E-2</v>
      </c>
      <c r="F48" s="54">
        <f>$C$9*32.7%</f>
        <v>1.5009300000000001</v>
      </c>
      <c r="G48" s="54">
        <f>($C$9*67.3%)*52.5%</f>
        <v>1.6217617499999999</v>
      </c>
      <c r="H48" s="54">
        <f>($C$9*67.3%)*35.1%</f>
        <v>1.0842635699999998</v>
      </c>
      <c r="I48" s="54">
        <f>($C$9*67.3%)*12.4%</f>
        <v>0.38304467999999992</v>
      </c>
      <c r="J48" s="54">
        <f>$D$9*32.7%</f>
        <v>6.8539200000000005</v>
      </c>
      <c r="K48" s="54">
        <f>($D$9*67.3%)*52.5%</f>
        <v>7.4056919999999993</v>
      </c>
      <c r="L48" s="54">
        <f>($D$9*67.3%)*35.1%</f>
        <v>4.9512340799999999</v>
      </c>
      <c r="M48" s="54">
        <f>($D$9*67.3%)*12.4%</f>
        <v>1.7491539199999999</v>
      </c>
      <c r="N48" s="54">
        <f>$E$9*32.7%</f>
        <v>17.000730000000001</v>
      </c>
      <c r="O48" s="54">
        <f>($E$9*67.3%)*52.5%</f>
        <v>18.369366750000001</v>
      </c>
      <c r="P48" s="54">
        <f>($E$9*67.3%)*35.1%</f>
        <v>12.28123377</v>
      </c>
      <c r="Q48" s="54">
        <f>($E$9*67.3%)*12.4%</f>
        <v>4.3386694800000001</v>
      </c>
      <c r="R48" s="54">
        <f>$F$9*32.7%</f>
        <v>32.268360000000001</v>
      </c>
      <c r="S48" s="54">
        <f>($F$9*67.3%)*52.5%</f>
        <v>34.866110999999997</v>
      </c>
      <c r="T48" s="54">
        <f>($F$9*67.3%)*35.1%</f>
        <v>23.31048564</v>
      </c>
      <c r="U48" s="54">
        <f>($F$9*67.3%)*12.4%</f>
        <v>8.2350433599999988</v>
      </c>
      <c r="V48" s="54">
        <f>$G$9*32.7%</f>
        <v>52.686240000000005</v>
      </c>
      <c r="W48" s="54">
        <f>($G$9*67.3%)*52.5%</f>
        <v>56.927723999999998</v>
      </c>
      <c r="X48" s="54">
        <f>($G$9*67.3%)*35.1%</f>
        <v>38.060249759999998</v>
      </c>
      <c r="Y48" s="54">
        <f>($G$9*67.3%)*12.4%</f>
        <v>13.445786239999999</v>
      </c>
      <c r="Z48" s="55" t="s">
        <v>14</v>
      </c>
    </row>
    <row r="49" spans="1:26" x14ac:dyDescent="0.25">
      <c r="A49" s="33" t="s">
        <v>202</v>
      </c>
      <c r="B49" s="54">
        <f>$B$10*32.7%</f>
        <v>5.2320000000000005E-2</v>
      </c>
      <c r="C49" s="54">
        <f>($B$10*67.3%)*52.5%</f>
        <v>5.6531999999999999E-2</v>
      </c>
      <c r="D49" s="54">
        <f>($B$10*67.3%)*35.1%</f>
        <v>3.7795680000000005E-2</v>
      </c>
      <c r="E49" s="54">
        <f>($B$10*67.3%)*12.4%</f>
        <v>1.3352319999999999E-2</v>
      </c>
      <c r="F49" s="54">
        <f>$C$10*32.7%</f>
        <v>1.8508200000000001</v>
      </c>
      <c r="G49" s="54">
        <f>($C$10*67.3%)*52.5%</f>
        <v>1.9998194999999999</v>
      </c>
      <c r="H49" s="54">
        <f>($C$10*67.3%)*35.1%</f>
        <v>1.3370221799999999</v>
      </c>
      <c r="I49" s="54">
        <f>($C$10*67.3%)*12.4%</f>
        <v>0.47233831999999992</v>
      </c>
      <c r="J49" s="54">
        <f>$D$10*32.7%</f>
        <v>7.5438900000000002</v>
      </c>
      <c r="K49" s="54">
        <f>($D$10*67.3%)*52.5%</f>
        <v>8.1512077499999993</v>
      </c>
      <c r="L49" s="54">
        <f>($D$10*67.3%)*35.1%</f>
        <v>5.4496646100000001</v>
      </c>
      <c r="M49" s="54">
        <f>($D$10*67.3%)*12.4%</f>
        <v>1.92523764</v>
      </c>
      <c r="N49" s="54">
        <f>$E$10*32.7%</f>
        <v>17.425830000000001</v>
      </c>
      <c r="O49" s="54">
        <f>($E$10*67.3%)*52.5%</f>
        <v>18.828689249999996</v>
      </c>
      <c r="P49" s="54">
        <f>($E$10*67.3%)*35.1%</f>
        <v>12.588323669999999</v>
      </c>
      <c r="Q49" s="54">
        <f>($E$10*67.3%)*12.4%</f>
        <v>4.4471570799999993</v>
      </c>
      <c r="R49" s="54">
        <f>$F$10*32.7%</f>
        <v>31.633980000000001</v>
      </c>
      <c r="S49" s="54">
        <f>($F$10*67.3%)*52.5%</f>
        <v>34.180660499999995</v>
      </c>
      <c r="T49" s="54">
        <f>($F$10*67.3%)*35.1%</f>
        <v>22.852213019999997</v>
      </c>
      <c r="U49" s="54">
        <f>($F$10*67.3%)*12.4%</f>
        <v>8.0731464799999983</v>
      </c>
      <c r="V49" s="54">
        <f>$G$10*32.7%</f>
        <v>50.230470000000004</v>
      </c>
      <c r="W49" s="54">
        <f>($G$10*67.3%)*52.5%</f>
        <v>54.274253250000001</v>
      </c>
      <c r="X49" s="54">
        <f>($G$10*67.3%)*35.1%</f>
        <v>36.286215030000001</v>
      </c>
      <c r="Y49" s="54">
        <f>($G$10*67.3%)*12.4%</f>
        <v>12.819061720000001</v>
      </c>
      <c r="Z49" s="55" t="s">
        <v>14</v>
      </c>
    </row>
    <row r="50" spans="1:26" x14ac:dyDescent="0.25">
      <c r="A50" s="33" t="s">
        <v>203</v>
      </c>
      <c r="B50" s="54">
        <f>$B$11*32.7%</f>
        <v>3.5970000000000002E-2</v>
      </c>
      <c r="C50" s="54">
        <f>($B$11*67.3%)*52.5%</f>
        <v>3.8865749999999998E-2</v>
      </c>
      <c r="D50" s="54">
        <f>($B$11*67.3%)*35.1%</f>
        <v>2.5984530000000002E-2</v>
      </c>
      <c r="E50" s="54">
        <f>($B$11*67.3%)*12.4%</f>
        <v>9.1797200000000006E-3</v>
      </c>
      <c r="F50" s="54">
        <f>$C$11*32.7%</f>
        <v>1.2687600000000001</v>
      </c>
      <c r="G50" s="54">
        <f>($C$11*67.3%)*52.5%</f>
        <v>1.3709009999999999</v>
      </c>
      <c r="H50" s="54">
        <f>($C$11*67.3%)*35.1%</f>
        <v>0.91654523999999993</v>
      </c>
      <c r="I50" s="54">
        <f>($C$11*67.3%)*12.4%</f>
        <v>0.32379375999999993</v>
      </c>
      <c r="J50" s="54">
        <f>$D$11*32.7%</f>
        <v>5.9841000000000006</v>
      </c>
      <c r="K50" s="54">
        <f>($D$11*67.3%)*52.5%</f>
        <v>6.4658474999999997</v>
      </c>
      <c r="L50" s="54">
        <f>($D$11*67.3%)*35.1%</f>
        <v>4.3228809000000004</v>
      </c>
      <c r="M50" s="54">
        <f>($D$11*67.3%)*12.4%</f>
        <v>1.5271716</v>
      </c>
      <c r="N50" s="54">
        <f>$E$11*32.7%</f>
        <v>14.03157</v>
      </c>
      <c r="O50" s="54">
        <f>($E$11*67.3%)*52.5%</f>
        <v>15.161175749999998</v>
      </c>
      <c r="P50" s="54">
        <f>($E$11*67.3%)*35.1%</f>
        <v>10.136328929999999</v>
      </c>
      <c r="Q50" s="54">
        <f>($E$11*67.3%)*12.4%</f>
        <v>3.5809253199999991</v>
      </c>
      <c r="R50" s="54">
        <f>$F$11*32.7%</f>
        <v>36.633810000000004</v>
      </c>
      <c r="S50" s="54">
        <f>($F$11*67.3%)*52.5%</f>
        <v>39.582999749999999</v>
      </c>
      <c r="T50" s="54">
        <f>($F$11*67.3%)*35.1%</f>
        <v>26.464062689999999</v>
      </c>
      <c r="U50" s="54">
        <f>($F$11*67.3%)*12.4%</f>
        <v>9.3491275599999994</v>
      </c>
      <c r="V50" s="54">
        <f>$G$11*32.7%</f>
        <v>67.090589999999992</v>
      </c>
      <c r="W50" s="54">
        <f>($G$11*67.3%)*52.5%</f>
        <v>72.491690249999991</v>
      </c>
      <c r="X50" s="54">
        <f>($G$11*67.3%)*35.1%</f>
        <v>48.465872909999995</v>
      </c>
      <c r="Y50" s="54">
        <f>($G$11*67.3%)*12.4%</f>
        <v>17.121846839999996</v>
      </c>
      <c r="Z50" s="55" t="s">
        <v>14</v>
      </c>
    </row>
    <row r="51" spans="1:26" x14ac:dyDescent="0.25">
      <c r="A51" s="33" t="s">
        <v>204</v>
      </c>
      <c r="B51" s="54">
        <f>$B$12*42.2%</f>
        <v>2.9540000000000007E-2</v>
      </c>
      <c r="C51" s="54">
        <f>($B$12*57.8%)*42.2%</f>
        <v>1.7074120000000002E-2</v>
      </c>
      <c r="D51" s="54">
        <f>($B$12*57.8%)*40.6%</f>
        <v>1.6426760000000002E-2</v>
      </c>
      <c r="E51" s="54">
        <f>($B$12*57.8%)*17.2%</f>
        <v>6.9591200000000001E-3</v>
      </c>
      <c r="F51" s="54">
        <f>$C$12*42.2%</f>
        <v>1.1098600000000001</v>
      </c>
      <c r="G51" s="54">
        <f>($C$12*57.8%)*42.2%</f>
        <v>0.64149908</v>
      </c>
      <c r="H51" s="54">
        <f>($C$12*57.8%)*40.6%</f>
        <v>0.61717683999999995</v>
      </c>
      <c r="I51" s="54">
        <f>($C$12*57.8%)*17.2%</f>
        <v>0.26146407999999993</v>
      </c>
      <c r="J51" s="54">
        <f>$D$12*42.2%</f>
        <v>7.3132599999999996</v>
      </c>
      <c r="K51" s="54">
        <f>($D$12*57.8%)*42.2%</f>
        <v>4.2270642799999996</v>
      </c>
      <c r="L51" s="54">
        <f>($D$12*57.8%)*40.6%</f>
        <v>4.0667964400000001</v>
      </c>
      <c r="M51" s="54">
        <f>($D$12*57.8%)*17.2%</f>
        <v>1.7228792799999997</v>
      </c>
      <c r="N51" s="54">
        <f>$E$12*42.2%</f>
        <v>21.070460000000001</v>
      </c>
      <c r="O51" s="54">
        <f>($E$12*57.8%)*42.2%</f>
        <v>12.17872588</v>
      </c>
      <c r="P51" s="54">
        <f>($E$12*57.8%)*40.6%</f>
        <v>11.71697324</v>
      </c>
      <c r="Q51" s="54">
        <f>($E$12*57.8%)*17.2%</f>
        <v>4.9638408799999993</v>
      </c>
      <c r="R51" s="54">
        <f>$F$12*42.2%</f>
        <v>42.554480000000005</v>
      </c>
      <c r="S51" s="54">
        <f>($F$12*57.8%)*42.2%</f>
        <v>24.596489440000003</v>
      </c>
      <c r="T51" s="54">
        <f>($F$12*57.8%)*40.6%</f>
        <v>23.663921120000001</v>
      </c>
      <c r="U51" s="54">
        <f>($F$12*57.8%)*17.2%</f>
        <v>10.02510944</v>
      </c>
      <c r="V51" s="54">
        <f>$G$12*42.2%</f>
        <v>72.541800000000009</v>
      </c>
      <c r="W51" s="54">
        <f>($G$12*57.8%)*42.2%</f>
        <v>41.929160400000001</v>
      </c>
      <c r="X51" s="54">
        <f>($G$12*57.8%)*40.6%</f>
        <v>40.339429199999998</v>
      </c>
      <c r="Y51" s="54">
        <f>($G$12*57.8%)*17.2%</f>
        <v>17.089610399999998</v>
      </c>
      <c r="Z51" s="55" t="s">
        <v>14</v>
      </c>
    </row>
    <row r="52" spans="1:26" x14ac:dyDescent="0.25">
      <c r="A52" s="33" t="s">
        <v>205</v>
      </c>
      <c r="B52" s="54">
        <f>$B$13*48.8%</f>
        <v>7.8079999999999997E-2</v>
      </c>
      <c r="C52" s="54">
        <f>($B$13*51.2%)*34.5%</f>
        <v>2.82624E-2</v>
      </c>
      <c r="D52" s="54">
        <f>($B$13*51.2%)*40%</f>
        <v>3.2768000000000005E-2</v>
      </c>
      <c r="E52" s="54">
        <f>($B$13*51.2%)*25.5%</f>
        <v>2.0889600000000001E-2</v>
      </c>
      <c r="F52" s="54">
        <f>$C$13*48.8%</f>
        <v>2.806</v>
      </c>
      <c r="G52" s="54">
        <f>($C$13*51.2%)*34.5%</f>
        <v>1.0156799999999999</v>
      </c>
      <c r="H52" s="54">
        <f>($C$13*51.2%)*40%</f>
        <v>1.1776</v>
      </c>
      <c r="I52" s="54">
        <f>($C$13*51.2%)*25.5%</f>
        <v>0.75072000000000005</v>
      </c>
      <c r="J52" s="54">
        <f>$D$13*48.8%</f>
        <v>12.502560000000001</v>
      </c>
      <c r="K52" s="54">
        <f>($D$13*51.2%)*34.5%</f>
        <v>4.5255168000000001</v>
      </c>
      <c r="L52" s="54">
        <f>($D$13*51.2%)*40%</f>
        <v>5.2469760000000001</v>
      </c>
      <c r="M52" s="54">
        <f>($D$13*51.2%)*25.5%</f>
        <v>3.3449472</v>
      </c>
      <c r="N52" s="54">
        <f>$E$13*48.8%</f>
        <v>30.23648</v>
      </c>
      <c r="O52" s="54">
        <f>($E$13*51.2%)*34.5%</f>
        <v>10.944614399999999</v>
      </c>
      <c r="P52" s="54">
        <f>($E$13*51.2%)*40%</f>
        <v>12.689408</v>
      </c>
      <c r="Q52" s="54">
        <f>($E$13*51.2%)*25.5%</f>
        <v>8.0894975999999996</v>
      </c>
      <c r="R52" s="54">
        <f>$F$13*48.8%</f>
        <v>37.7956</v>
      </c>
      <c r="S52" s="54">
        <f>($F$13*51.2%)*34.5%</f>
        <v>13.680768</v>
      </c>
      <c r="T52" s="54">
        <f>($F$13*51.2%)*40%</f>
        <v>15.861760000000002</v>
      </c>
      <c r="U52" s="54">
        <f>($F$13*51.2%)*25.5%</f>
        <v>10.111872</v>
      </c>
      <c r="V52" s="54">
        <f>$G$13*48.8%</f>
        <v>45.35472</v>
      </c>
      <c r="W52" s="54">
        <f>($G$13*51.2%)*34.5%</f>
        <v>16.416921599999998</v>
      </c>
      <c r="X52" s="54">
        <f>($G$13*51.2%)*40%</f>
        <v>19.034112</v>
      </c>
      <c r="Y52" s="54">
        <f>($G$13*51.2%)*25.5%</f>
        <v>12.1342464</v>
      </c>
      <c r="Z52" s="55" t="s">
        <v>14</v>
      </c>
    </row>
    <row r="53" spans="1:26" x14ac:dyDescent="0.25">
      <c r="A53" s="33" t="s">
        <v>206</v>
      </c>
      <c r="B53" s="54">
        <f>$B$14*32.7%</f>
        <v>3.5970000000000002E-2</v>
      </c>
      <c r="C53" s="54">
        <f>($B$14*67.3%)*52.5%</f>
        <v>3.8865749999999998E-2</v>
      </c>
      <c r="D53" s="54">
        <f>($B$14*67.3%)*35.1%</f>
        <v>2.5984530000000002E-2</v>
      </c>
      <c r="E53" s="54">
        <f>($B$14*67.3%)*12.4%</f>
        <v>9.1797200000000006E-3</v>
      </c>
      <c r="F53" s="54">
        <f>$C$14*32.7%</f>
        <v>1.2687600000000001</v>
      </c>
      <c r="G53" s="54">
        <f>($C$14*67.3%)*52.5%</f>
        <v>1.3709009999999999</v>
      </c>
      <c r="H53" s="54">
        <f>($C$14*67.3%)*35.1%</f>
        <v>0.91654523999999993</v>
      </c>
      <c r="I53" s="54">
        <f>($C$14*67.3%)*12.4%</f>
        <v>0.32379375999999993</v>
      </c>
      <c r="J53" s="54">
        <f>$D$14*32.7%</f>
        <v>5.9841000000000006</v>
      </c>
      <c r="K53" s="54">
        <f>($D$14*67.3%)*52.5%</f>
        <v>6.4658474999999997</v>
      </c>
      <c r="L53" s="54">
        <f>($D$14*67.3%)*35.1%</f>
        <v>4.3228809000000004</v>
      </c>
      <c r="M53" s="54">
        <f>($D$14*67.3%)*12.4%</f>
        <v>1.5271716</v>
      </c>
      <c r="N53" s="54">
        <f>$E$14*32.7%</f>
        <v>14.03157</v>
      </c>
      <c r="O53" s="54">
        <f>($E$14*67.3%)*52.5%</f>
        <v>15.161175749999998</v>
      </c>
      <c r="P53" s="54">
        <f>($E$14*67.3%)*35.1%</f>
        <v>10.136328929999999</v>
      </c>
      <c r="Q53" s="54">
        <f>($E$14*67.3%)*12.4%</f>
        <v>3.5809253199999991</v>
      </c>
      <c r="R53" s="54">
        <f>$F$14*32.7%</f>
        <v>36.633810000000004</v>
      </c>
      <c r="S53" s="54">
        <f>($F$14*67.3%)*52.5%</f>
        <v>39.582999749999999</v>
      </c>
      <c r="T53" s="54">
        <f>($F$14*67.3%)*35.1%</f>
        <v>26.464062689999999</v>
      </c>
      <c r="U53" s="54">
        <f>($F$14*67.3%)*12.4%</f>
        <v>9.3491275599999994</v>
      </c>
      <c r="V53" s="54">
        <f>$G$14*32.7%</f>
        <v>67.090589999999992</v>
      </c>
      <c r="W53" s="54">
        <f>($G$14*67.3%)*52.5%</f>
        <v>72.491690249999991</v>
      </c>
      <c r="X53" s="54">
        <f>($G$14*67.3%)*35.1%</f>
        <v>48.465872909999995</v>
      </c>
      <c r="Y53" s="54">
        <f>($G$14*67.3%)*12.4%</f>
        <v>17.121846839999996</v>
      </c>
      <c r="Z53" s="55" t="s">
        <v>14</v>
      </c>
    </row>
    <row r="54" spans="1:26" x14ac:dyDescent="0.25">
      <c r="A54" s="33" t="s">
        <v>207</v>
      </c>
      <c r="B54" s="54">
        <f>$B$15*27.4%</f>
        <v>6.5759999999999985E-2</v>
      </c>
      <c r="C54" s="54">
        <f>($B$15*72.6%)*59.3%</f>
        <v>0.10332431999999998</v>
      </c>
      <c r="D54" s="54">
        <f>($B$15*72.6%)*19.5%</f>
        <v>3.3976799999999995E-2</v>
      </c>
      <c r="E54" s="54">
        <f>($B$15*72.6%)*21.2%</f>
        <v>3.6938879999999993E-2</v>
      </c>
      <c r="F54" s="54">
        <f>$C$15*27.4%</f>
        <v>2.3207800000000001</v>
      </c>
      <c r="G54" s="54">
        <f>($C$15*72.6%)*59.3%</f>
        <v>3.6464874600000003</v>
      </c>
      <c r="H54" s="54">
        <f>($C$15*72.6%)*19.5%</f>
        <v>1.1990979000000002</v>
      </c>
      <c r="I54" s="54">
        <f>($C$15*72.6%)*21.2%</f>
        <v>1.3036346400000001</v>
      </c>
      <c r="J54" s="54">
        <f>$D$15*27.4%</f>
        <v>3.3482799999999999</v>
      </c>
      <c r="K54" s="54">
        <f>($D$15*72.6%)*59.3%</f>
        <v>5.2609299599999995</v>
      </c>
      <c r="L54" s="54">
        <f>($D$15*72.6%)*19.5%</f>
        <v>1.7299854000000001</v>
      </c>
      <c r="M54" s="54">
        <f>($D$15*72.6%)*21.2%</f>
        <v>1.8808046399999998</v>
      </c>
      <c r="N54" s="54">
        <f>$E$15*27.4%</f>
        <v>4.6525199999999991</v>
      </c>
      <c r="O54" s="54">
        <f>($E$15*72.6%)*59.3%</f>
        <v>7.310195639999999</v>
      </c>
      <c r="P54" s="54">
        <f>($E$15*72.6%)*19.5%</f>
        <v>2.4038586</v>
      </c>
      <c r="Q54" s="54">
        <f>($E$15*72.6%)*21.2%</f>
        <v>2.6134257599999997</v>
      </c>
      <c r="R54" s="54">
        <f>$F$15*27.4%</f>
        <v>6.2718599999999993</v>
      </c>
      <c r="S54" s="54">
        <f>($F$15*72.6%)*59.3%</f>
        <v>9.8545570199999997</v>
      </c>
      <c r="T54" s="54">
        <f>($F$15*72.6%)*19.5%</f>
        <v>3.2405373000000002</v>
      </c>
      <c r="U54" s="54">
        <f>($F$15*72.6%)*21.2%</f>
        <v>3.5230456800000001</v>
      </c>
      <c r="V54" s="54">
        <f>$G$15*27.4%</f>
        <v>8.2446599999999997</v>
      </c>
      <c r="W54" s="54">
        <f>($G$15*72.6%)*59.3%</f>
        <v>12.95428662</v>
      </c>
      <c r="X54" s="54">
        <f>($G$15*72.6%)*19.5%</f>
        <v>4.2598413000000006</v>
      </c>
      <c r="Y54" s="54">
        <f>($G$15*72.6%)*21.2%</f>
        <v>4.6312120800000001</v>
      </c>
      <c r="Z54" s="55" t="s">
        <v>15</v>
      </c>
    </row>
    <row r="55" spans="1:26" x14ac:dyDescent="0.25">
      <c r="A55" s="33" t="s">
        <v>208</v>
      </c>
      <c r="B55" s="54">
        <f>$B$16*32.7%</f>
        <v>3.5970000000000002E-2</v>
      </c>
      <c r="C55" s="54">
        <f>($B$16*67.3%)*52.5%</f>
        <v>3.8865749999999998E-2</v>
      </c>
      <c r="D55" s="54">
        <f>($B$16*67.3%)*35.1%</f>
        <v>2.5984530000000002E-2</v>
      </c>
      <c r="E55" s="54">
        <f>($B$16*67.3%)*12.4%</f>
        <v>9.1797200000000006E-3</v>
      </c>
      <c r="F55" s="54">
        <f>$C$16*32.7%</f>
        <v>1.2687600000000001</v>
      </c>
      <c r="G55" s="54">
        <f>($C$16*67.3%)*52.5%</f>
        <v>1.3709009999999999</v>
      </c>
      <c r="H55" s="54">
        <f>($C$16*67.3%)*35.1%</f>
        <v>0.91654523999999993</v>
      </c>
      <c r="I55" s="54">
        <f>($C$16*67.3%)*12.4%</f>
        <v>0.32379375999999993</v>
      </c>
      <c r="J55" s="54">
        <f>$D$16*32.7%</f>
        <v>5.9841000000000006</v>
      </c>
      <c r="K55" s="54">
        <f>($D$16*67.3%)*52.5%</f>
        <v>6.4658474999999997</v>
      </c>
      <c r="L55" s="54">
        <f>($D$16*67.3%)*35.1%</f>
        <v>4.3228809000000004</v>
      </c>
      <c r="M55" s="54">
        <f>($D$16*67.3%)*12.4%</f>
        <v>1.5271716</v>
      </c>
      <c r="N55" s="54">
        <f>$E$16*32.7%</f>
        <v>14.03157</v>
      </c>
      <c r="O55" s="54">
        <f>($E$16*67.3%)*52.5%</f>
        <v>15.161175749999998</v>
      </c>
      <c r="P55" s="54">
        <f>($E$16*67.3%)*35.1%</f>
        <v>10.136328929999999</v>
      </c>
      <c r="Q55" s="54">
        <f>($E$16*67.3%)*12.4%</f>
        <v>3.5809253199999991</v>
      </c>
      <c r="R55" s="54">
        <f>$F$16*32.7%</f>
        <v>36.633810000000004</v>
      </c>
      <c r="S55" s="54">
        <f>($F$16*67.3%)*52.5%</f>
        <v>39.582999749999999</v>
      </c>
      <c r="T55" s="54">
        <f>($F$16*67.3%)*35.1%</f>
        <v>26.464062689999999</v>
      </c>
      <c r="U55" s="54">
        <f>($F$16*67.3%)*12.4%</f>
        <v>9.3491275599999994</v>
      </c>
      <c r="V55" s="54">
        <f>$G$16*32.7%</f>
        <v>67.090589999999992</v>
      </c>
      <c r="W55" s="54">
        <f>($G$16*67.3%)*52.5%</f>
        <v>72.491690249999991</v>
      </c>
      <c r="X55" s="54">
        <f>($G$16*67.3%)*35.1%</f>
        <v>48.465872909999995</v>
      </c>
      <c r="Y55" s="54">
        <f>($G$16*67.3%)*12.4%</f>
        <v>17.121846839999996</v>
      </c>
      <c r="Z55" s="55" t="s">
        <v>14</v>
      </c>
    </row>
    <row r="56" spans="1:26" x14ac:dyDescent="0.25">
      <c r="A56" s="33" t="s">
        <v>209</v>
      </c>
      <c r="B56" s="54">
        <f>$B$17*32.7%</f>
        <v>3.5970000000000002E-2</v>
      </c>
      <c r="C56" s="54">
        <f>($B$17*67.3%)*52.5%</f>
        <v>3.8865749999999998E-2</v>
      </c>
      <c r="D56" s="54">
        <f>($B$17*67.3%)*35.1%</f>
        <v>2.5984530000000002E-2</v>
      </c>
      <c r="E56" s="54">
        <f>($B$17*67.3%)*12.4%</f>
        <v>9.1797200000000006E-3</v>
      </c>
      <c r="F56" s="54">
        <f>$C$17*32.7%</f>
        <v>1.2687600000000001</v>
      </c>
      <c r="G56" s="54">
        <f>($C$17*67.3%)*52.5%</f>
        <v>1.3709009999999999</v>
      </c>
      <c r="H56" s="54">
        <f>($C$17*67.3%)*35.1%</f>
        <v>0.91654523999999993</v>
      </c>
      <c r="I56" s="54">
        <f>($C$17*67.3%)*12.4%</f>
        <v>0.32379375999999993</v>
      </c>
      <c r="J56" s="54">
        <f>$D$17*32.7%</f>
        <v>5.9841000000000006</v>
      </c>
      <c r="K56" s="54">
        <f>($D$17*67.3%)*52.5%</f>
        <v>6.4658474999999997</v>
      </c>
      <c r="L56" s="54">
        <f>($D$17*67.3%)*35.1%</f>
        <v>4.3228809000000004</v>
      </c>
      <c r="M56" s="54">
        <f>($D$17*67.3%)*12.4%</f>
        <v>1.5271716</v>
      </c>
      <c r="N56" s="54">
        <f>$E$17*32.7%</f>
        <v>14.03157</v>
      </c>
      <c r="O56" s="54">
        <f>($E$17*67.3%)*52.5%</f>
        <v>15.161175749999998</v>
      </c>
      <c r="P56" s="54">
        <f>($E$17*67.3%)*35.1%</f>
        <v>10.136328929999999</v>
      </c>
      <c r="Q56" s="54">
        <f>($E$17*67.3%)*12.4%</f>
        <v>3.5809253199999991</v>
      </c>
      <c r="R56" s="54">
        <f>$F$17*32.7%</f>
        <v>36.633810000000004</v>
      </c>
      <c r="S56" s="54">
        <f>($F$17*67.3%)*52.5%</f>
        <v>39.582999749999999</v>
      </c>
      <c r="T56" s="54">
        <f>($F$17*67.3%)*35.1%</f>
        <v>26.464062689999999</v>
      </c>
      <c r="U56" s="54">
        <f>($F$17*67.3%)*12.4%</f>
        <v>9.3491275599999994</v>
      </c>
      <c r="V56" s="54">
        <f>$G$17*32.7%</f>
        <v>67.090589999999992</v>
      </c>
      <c r="W56" s="54">
        <f>($G$17*67.3%)*52.5%</f>
        <v>72.491690249999991</v>
      </c>
      <c r="X56" s="54">
        <f>($G$17*67.3%)*35.1%</f>
        <v>48.465872909999995</v>
      </c>
      <c r="Y56" s="54">
        <f>($G$17*67.3%)*12.4%</f>
        <v>17.121846839999996</v>
      </c>
      <c r="Z56" s="55" t="s">
        <v>14</v>
      </c>
    </row>
    <row r="57" spans="1:26" x14ac:dyDescent="0.25">
      <c r="A57" s="33" t="s">
        <v>210</v>
      </c>
      <c r="B57" s="54">
        <f>$B$18*32.7%</f>
        <v>3.5970000000000002E-2</v>
      </c>
      <c r="C57" s="54">
        <f>($B$18*67.3%)*52.5%</f>
        <v>3.8865749999999998E-2</v>
      </c>
      <c r="D57" s="54">
        <f>($B$18*67.3%)*35.1%</f>
        <v>2.5984530000000002E-2</v>
      </c>
      <c r="E57" s="54">
        <f>($B$18*67.3%)*12.4%</f>
        <v>9.1797200000000006E-3</v>
      </c>
      <c r="F57" s="54">
        <f>$C$18*32.7%</f>
        <v>1.2687600000000001</v>
      </c>
      <c r="G57" s="54">
        <f>($C$18*67.3%)*52.5%</f>
        <v>1.3709009999999999</v>
      </c>
      <c r="H57" s="54">
        <f>($C$18*67.3%)*35.1%</f>
        <v>0.91654523999999993</v>
      </c>
      <c r="I57" s="54">
        <f>($C$18*67.3%)*12.4%</f>
        <v>0.32379375999999993</v>
      </c>
      <c r="J57" s="54">
        <f>$D$18*32.7%</f>
        <v>5.9841000000000006</v>
      </c>
      <c r="K57" s="54">
        <f>($D$18*67.3%)*52.5%</f>
        <v>6.4658474999999997</v>
      </c>
      <c r="L57" s="54">
        <f>($D$18*67.3%)*35.1%</f>
        <v>4.3228809000000004</v>
      </c>
      <c r="M57" s="54">
        <f>($D$18*67.3%)*12.4%</f>
        <v>1.5271716</v>
      </c>
      <c r="N57" s="54">
        <f>$E$18*32.7%</f>
        <v>14.03157</v>
      </c>
      <c r="O57" s="54">
        <f>($E$18*67.3%)*52.5%</f>
        <v>15.161175749999998</v>
      </c>
      <c r="P57" s="54">
        <f>($E$18*67.3%)*35.1%</f>
        <v>10.136328929999999</v>
      </c>
      <c r="Q57" s="54">
        <f>($E$18*67.3%)*12.4%</f>
        <v>3.5809253199999991</v>
      </c>
      <c r="R57" s="54">
        <f>$F$18*32.7%</f>
        <v>36.633810000000004</v>
      </c>
      <c r="S57" s="54">
        <f>($F$18*67.3%)*52.5%</f>
        <v>39.582999749999999</v>
      </c>
      <c r="T57" s="54">
        <f>($F$18*67.3%)*35.1%</f>
        <v>26.464062689999999</v>
      </c>
      <c r="U57" s="54">
        <f>($F$18*67.3%)*12.4%</f>
        <v>9.3491275599999994</v>
      </c>
      <c r="V57" s="54">
        <f>$G$18*32.7%</f>
        <v>67.090589999999992</v>
      </c>
      <c r="W57" s="54">
        <f>($G$18*67.3%)*52.5%</f>
        <v>72.491690249999991</v>
      </c>
      <c r="X57" s="54">
        <f>($G$18*67.3%)*35.1%</f>
        <v>48.465872909999995</v>
      </c>
      <c r="Y57" s="54">
        <f>($G$18*67.3%)*12.4%</f>
        <v>17.121846839999996</v>
      </c>
      <c r="Z57" s="55" t="s">
        <v>14</v>
      </c>
    </row>
    <row r="58" spans="1:26" x14ac:dyDescent="0.25">
      <c r="A58" s="33" t="s">
        <v>211</v>
      </c>
      <c r="B58" s="54">
        <f>$B$19*31.4%</f>
        <v>3.4540000000000001E-2</v>
      </c>
      <c r="C58" s="54">
        <f>($B$19*68.6%)*28.6%</f>
        <v>2.1581560000000003E-2</v>
      </c>
      <c r="D58" s="54">
        <f>($B$19*68.6%)*55.9%</f>
        <v>4.2182139999999993E-2</v>
      </c>
      <c r="E58" s="54">
        <f>($B$19*68.6%)*15.5%</f>
        <v>1.16963E-2</v>
      </c>
      <c r="F58" s="54">
        <f>$C$19*31.4%</f>
        <v>1.2183200000000001</v>
      </c>
      <c r="G58" s="54">
        <f>($C$19*68.6%)*28.6%</f>
        <v>0.76124048</v>
      </c>
      <c r="H58" s="54">
        <f>($C$19*68.6%)*55.9%</f>
        <v>1.4878791199999997</v>
      </c>
      <c r="I58" s="54">
        <f>($C$19*68.6%)*15.5%</f>
        <v>0.41256039999999994</v>
      </c>
      <c r="J58" s="54">
        <f>$D$19*31.4%</f>
        <v>5.7336400000000003</v>
      </c>
      <c r="K58" s="54">
        <f>($D$19*68.6%)*28.6%</f>
        <v>3.5825389600000004</v>
      </c>
      <c r="L58" s="54">
        <f>($D$19*68.6%)*55.9%</f>
        <v>7.0022352399999992</v>
      </c>
      <c r="M58" s="54">
        <f>($D$19*68.6%)*15.5%</f>
        <v>1.9415858000000001</v>
      </c>
      <c r="N58" s="54">
        <f>$E$19*31.4%</f>
        <v>12.246</v>
      </c>
      <c r="O58" s="54">
        <f>($E$19*68.6%)*28.6%</f>
        <v>7.6516440000000001</v>
      </c>
      <c r="P58" s="54">
        <f>($E$19*68.6%)*55.9%</f>
        <v>14.955485999999997</v>
      </c>
      <c r="Q58" s="54">
        <f>($E$19*68.6%)*15.5%</f>
        <v>4.1468699999999998</v>
      </c>
      <c r="R58" s="54">
        <f>$F$19*31.4%</f>
        <v>15.304360000000001</v>
      </c>
      <c r="S58" s="54">
        <f>($F$19*68.6%)*28.6%</f>
        <v>9.5625930400000012</v>
      </c>
      <c r="T58" s="54">
        <f>($F$19*68.6%)*55.9%</f>
        <v>18.690522759999997</v>
      </c>
      <c r="U58" s="54">
        <f>($F$19*68.6%)*15.5%</f>
        <v>5.1825241999999996</v>
      </c>
      <c r="V58" s="54">
        <f>$G$19*31.4%</f>
        <v>26.401119999999999</v>
      </c>
      <c r="W58" s="54">
        <f>($G$19*68.6%)*28.6%</f>
        <v>16.496159679999998</v>
      </c>
      <c r="X58" s="54">
        <f>($G$19*68.6%)*55.9%</f>
        <v>32.242493919999994</v>
      </c>
      <c r="Y58" s="54">
        <f>($G$19*68.6%)*15.5%</f>
        <v>8.9402263999999985</v>
      </c>
      <c r="Z58" s="55" t="s">
        <v>14</v>
      </c>
    </row>
    <row r="59" spans="1:26" x14ac:dyDescent="0.25">
      <c r="A59" s="33" t="s">
        <v>212</v>
      </c>
      <c r="B59" s="54">
        <f>$B$20*32.7%</f>
        <v>4.9050000000000003E-2</v>
      </c>
      <c r="C59" s="54">
        <f>($B$20*67.3%)*52.5%</f>
        <v>5.2998749999999997E-2</v>
      </c>
      <c r="D59" s="54">
        <f>($B$20*67.3%)*35.1%</f>
        <v>3.5433449999999998E-2</v>
      </c>
      <c r="E59" s="54">
        <f>($B$20*67.3%)*12.4%</f>
        <v>1.2517799999999997E-2</v>
      </c>
      <c r="F59" s="54">
        <f>$C$20*32.7%</f>
        <v>1.72983</v>
      </c>
      <c r="G59" s="54">
        <f>($C$20*67.3%)*52.5%</f>
        <v>1.86908925</v>
      </c>
      <c r="H59" s="54">
        <f>($C$20*67.3%)*35.1%</f>
        <v>1.24961967</v>
      </c>
      <c r="I59" s="54">
        <f>($C$20*67.3%)*12.4%</f>
        <v>0.44146107999999995</v>
      </c>
      <c r="J59" s="54">
        <f>$D$20*32.7%</f>
        <v>9.6890099999999997</v>
      </c>
      <c r="K59" s="54">
        <f>($D$20*67.3%)*52.5%</f>
        <v>10.469019749999998</v>
      </c>
      <c r="L59" s="54">
        <f>($D$20*67.3%)*35.1%</f>
        <v>6.9992874899999995</v>
      </c>
      <c r="M59" s="54">
        <f>($D$20*67.3%)*12.4%</f>
        <v>2.4726827599999996</v>
      </c>
      <c r="N59" s="54">
        <f>$E$20*32.7%</f>
        <v>25.27056</v>
      </c>
      <c r="O59" s="54">
        <f>($E$20*67.3%)*52.5%</f>
        <v>27.304956000000001</v>
      </c>
      <c r="P59" s="54">
        <f>($E$20*67.3%)*35.1%</f>
        <v>18.255313440000002</v>
      </c>
      <c r="Q59" s="54">
        <f>($E$20*67.3%)*12.4%</f>
        <v>6.4491705599999998</v>
      </c>
      <c r="R59" s="54">
        <f>$F$20*32.7%</f>
        <v>48.915930000000003</v>
      </c>
      <c r="S59" s="54">
        <f>($F$20*67.3%)*52.5%</f>
        <v>52.853886749999994</v>
      </c>
      <c r="T59" s="54">
        <f>($F$20*67.3%)*35.1%</f>
        <v>35.33659857</v>
      </c>
      <c r="U59" s="54">
        <f>($F$20*67.3%)*12.4%</f>
        <v>12.483584679999998</v>
      </c>
      <c r="V59" s="54">
        <f>$G$20*32.7%</f>
        <v>80.664360000000002</v>
      </c>
      <c r="W59" s="54">
        <f>($G$20*67.3%)*52.5%</f>
        <v>87.158210999999994</v>
      </c>
      <c r="X59" s="54">
        <f>($G$20*67.3%)*35.1%</f>
        <v>58.271489640000006</v>
      </c>
      <c r="Y59" s="54">
        <f>($G$20*67.3%)*12.4%</f>
        <v>20.585939359999998</v>
      </c>
      <c r="Z59" s="55" t="s">
        <v>14</v>
      </c>
    </row>
    <row r="60" spans="1:26" x14ac:dyDescent="0.25">
      <c r="A60" s="208" t="s">
        <v>213</v>
      </c>
      <c r="B60" s="54">
        <f>$B$21*23.6%</f>
        <v>1.1800000000000001E-2</v>
      </c>
      <c r="C60" s="54">
        <f>($B$21*76.4%)*48.4%</f>
        <v>1.8488800000000003E-2</v>
      </c>
      <c r="D60" s="54">
        <f>($B$21*76.4%)*23.8%</f>
        <v>9.0916000000000018E-3</v>
      </c>
      <c r="E60" s="54">
        <f>($B$21*76.4%)*27.8%</f>
        <v>1.0619600000000002E-2</v>
      </c>
      <c r="F60" s="54">
        <f>$C$21*23.6%</f>
        <v>0.45075999999999999</v>
      </c>
      <c r="G60" s="54">
        <f>($C$21*76.4%)*48.4%</f>
        <v>0.70627215999999993</v>
      </c>
      <c r="H60" s="54">
        <f>($C$21*76.4%)*23.8%</f>
        <v>0.34729912000000002</v>
      </c>
      <c r="I60" s="54">
        <f>($C$21*76.4%)*27.8%</f>
        <v>0.40566871999999998</v>
      </c>
      <c r="J60" s="54">
        <f>$D$21*23.6%</f>
        <v>1.7676400000000001</v>
      </c>
      <c r="K60" s="54">
        <f>($D$21*76.4%)*48.4%</f>
        <v>2.7696222399999999</v>
      </c>
      <c r="L60" s="54">
        <f>($D$21*76.4%)*23.8%</f>
        <v>1.36192168</v>
      </c>
      <c r="M60" s="54">
        <f>($D$21*76.4%)*27.8%</f>
        <v>1.5908160800000002</v>
      </c>
      <c r="N60" s="54">
        <f>$E$21*23.6%</f>
        <v>4.1418000000000008</v>
      </c>
      <c r="O60" s="54">
        <f>($E$21*76.4%)*48.4%</f>
        <v>6.4895687999999998</v>
      </c>
      <c r="P60" s="54">
        <f>($E$21*76.4%)*23.8%</f>
        <v>3.1911516000000004</v>
      </c>
      <c r="Q60" s="54">
        <f>($E$21*76.4%)*27.8%</f>
        <v>3.7274796000000006</v>
      </c>
      <c r="R60" s="54">
        <f>$F$21*23.6%</f>
        <v>7.6888800000000002</v>
      </c>
      <c r="S60" s="54">
        <f>($F$21*76.4%)*48.4%</f>
        <v>12.04730208</v>
      </c>
      <c r="T60" s="54">
        <f>($F$21*76.4%)*23.8%</f>
        <v>5.924086560000001</v>
      </c>
      <c r="U60" s="54">
        <f>($F$21*76.4%)*27.8%</f>
        <v>6.919731360000001</v>
      </c>
      <c r="V60" s="54">
        <f>$G$21*23.6%</f>
        <v>12.482040000000001</v>
      </c>
      <c r="W60" s="54">
        <f>($G$21*76.4%)*48.4%</f>
        <v>19.557452640000001</v>
      </c>
      <c r="X60" s="54">
        <f>($G$21*76.4%)*23.8%</f>
        <v>9.6170944800000022</v>
      </c>
      <c r="Y60" s="54">
        <f>($G$21*76.4%)*27.8%</f>
        <v>11.233412880000001</v>
      </c>
      <c r="Z60" s="55" t="s">
        <v>15</v>
      </c>
    </row>
    <row r="61" spans="1:26" x14ac:dyDescent="0.25">
      <c r="A61" s="33" t="s">
        <v>215</v>
      </c>
      <c r="B61" s="54">
        <f>$B$22*22.1%</f>
        <v>7.9559999999999992E-2</v>
      </c>
      <c r="C61" s="54">
        <f>($B$22*77.9%)*79.5%</f>
        <v>0.22294980000000003</v>
      </c>
      <c r="D61" s="54">
        <f>($B$22*77.9%)*6.5%</f>
        <v>1.8228600000000001E-2</v>
      </c>
      <c r="E61" s="54">
        <f>($B$22*77.9%)*14%</f>
        <v>3.9261600000000008E-2</v>
      </c>
      <c r="F61" s="54">
        <f>$C$22*22.1%</f>
        <v>2.85311</v>
      </c>
      <c r="G61" s="54">
        <f>($C$22*77.9%)*79.5%</f>
        <v>7.995227550000001</v>
      </c>
      <c r="H61" s="54">
        <f>($C$22*77.9%)*6.5%</f>
        <v>0.65369785000000014</v>
      </c>
      <c r="I61" s="54">
        <f>($C$22*77.9%)*14%</f>
        <v>1.4079646000000003</v>
      </c>
      <c r="J61" s="54">
        <f>$D$22*22.1%</f>
        <v>7.2731099999999991</v>
      </c>
      <c r="K61" s="54">
        <f>($D$22*77.9%)*79.5%</f>
        <v>20.381327549999998</v>
      </c>
      <c r="L61" s="54">
        <f>($D$22*77.9%)*6.5%</f>
        <v>1.6663978499999998</v>
      </c>
      <c r="M61" s="54">
        <f>($D$22*77.9%)*14%</f>
        <v>3.5891646000000001</v>
      </c>
      <c r="N61" s="54">
        <f>$E$22*22.1%</f>
        <v>14.174939999999999</v>
      </c>
      <c r="O61" s="54">
        <f>($E$22*77.9%)*79.5%</f>
        <v>39.722222700000003</v>
      </c>
      <c r="P61" s="54">
        <f>($E$22*77.9%)*6.5%</f>
        <v>3.2477289000000003</v>
      </c>
      <c r="Q61" s="54">
        <f>($E$22*77.9%)*14%</f>
        <v>6.9951084000000012</v>
      </c>
      <c r="R61" s="54">
        <f>$F$22*22.1%</f>
        <v>23.750869999999999</v>
      </c>
      <c r="S61" s="54">
        <f>($F$22*77.9%)*79.5%</f>
        <v>66.556708350000008</v>
      </c>
      <c r="T61" s="54">
        <f>($F$22*77.9%)*6.5%</f>
        <v>5.4417434500000006</v>
      </c>
      <c r="U61" s="54">
        <f>($F$22*77.9%)*14%</f>
        <v>11.720678200000002</v>
      </c>
      <c r="V61" s="54">
        <f>$G$22*22.1%</f>
        <v>36.113610000000001</v>
      </c>
      <c r="W61" s="54">
        <f>($G$22*77.9%)*79.5%</f>
        <v>101.20063005</v>
      </c>
      <c r="X61" s="54">
        <f>($G$22*77.9%)*6.5%</f>
        <v>8.2742653500000003</v>
      </c>
      <c r="Y61" s="54">
        <f>($G$22*77.9%)*14%</f>
        <v>17.821494600000001</v>
      </c>
      <c r="Z61" s="55" t="s">
        <v>15</v>
      </c>
    </row>
    <row r="62" spans="1:26" x14ac:dyDescent="0.25">
      <c r="A62" s="208" t="s">
        <v>214</v>
      </c>
      <c r="B62" s="54">
        <f>$B$23*15.5%</f>
        <v>2.6350000000000002E-2</v>
      </c>
      <c r="C62" s="54">
        <f>($B$23*84.5%)*43.1%</f>
        <v>6.191315E-2</v>
      </c>
      <c r="D62" s="54">
        <f>($B$23*84.5%)*34.5%</f>
        <v>4.9559249999999999E-2</v>
      </c>
      <c r="E62" s="54">
        <f>($B$23*84.5%)*22.4%</f>
        <v>3.2177599999999994E-2</v>
      </c>
      <c r="F62" s="54">
        <f>$C$23*15.5%</f>
        <v>0.95479999999999998</v>
      </c>
      <c r="G62" s="54">
        <f>($C$23*84.5%)*43.1%</f>
        <v>2.2434411999999999</v>
      </c>
      <c r="H62" s="54">
        <f>($C$23*84.5%)*34.5%</f>
        <v>1.7957939999999997</v>
      </c>
      <c r="I62" s="54">
        <f>($C$23*84.5%)*22.4%</f>
        <v>1.1659647999999998</v>
      </c>
      <c r="J62" s="54">
        <f>$D$23*15.5%</f>
        <v>2.9294999999999995</v>
      </c>
      <c r="K62" s="54">
        <f>($D$23*84.5%)*43.1%</f>
        <v>6.8832854999999986</v>
      </c>
      <c r="L62" s="54">
        <f>($D$23*84.5%)*34.5%</f>
        <v>5.5098224999999985</v>
      </c>
      <c r="M62" s="54">
        <f>($D$23*84.5%)*22.4%</f>
        <v>3.5773919999999992</v>
      </c>
      <c r="N62" s="54">
        <f>$E$23*15.5%</f>
        <v>6.2557999999999998</v>
      </c>
      <c r="O62" s="54">
        <f>($E$23*84.5%)*43.1%</f>
        <v>14.698910199999998</v>
      </c>
      <c r="P62" s="54">
        <f>($E$23*84.5%)*34.5%</f>
        <v>11.765948999999999</v>
      </c>
      <c r="Q62" s="54">
        <f>($E$23*84.5%)*22.4%</f>
        <v>7.6393407999999985</v>
      </c>
      <c r="R62" s="54">
        <f>$F$23*15.5%</f>
        <v>11.085599999999999</v>
      </c>
      <c r="S62" s="54">
        <f>($F$23*84.5%)*43.1%</f>
        <v>26.0472264</v>
      </c>
      <c r="T62" s="54">
        <f>($F$23*84.5%)*34.5%</f>
        <v>20.849867999999997</v>
      </c>
      <c r="U62" s="54">
        <f>($F$23*84.5%)*22.4%</f>
        <v>13.537305599999998</v>
      </c>
      <c r="V62" s="54">
        <f>$G$23*15.5%</f>
        <v>17.522749999999998</v>
      </c>
      <c r="W62" s="54">
        <f>($G$23*84.5%)*43.1%</f>
        <v>41.172244749999997</v>
      </c>
      <c r="X62" s="54">
        <f>($G$23*84.5%)*34.5%</f>
        <v>32.956901249999994</v>
      </c>
      <c r="Y62" s="54">
        <f>($G$23*84.5%)*22.4%</f>
        <v>21.398103999999996</v>
      </c>
      <c r="Z62" s="55" t="s">
        <v>15</v>
      </c>
    </row>
    <row r="63" spans="1:26" x14ac:dyDescent="0.25">
      <c r="A63" s="33" t="s">
        <v>216</v>
      </c>
      <c r="B63" s="54">
        <f>$B$24*32.7%</f>
        <v>4.9050000000000003E-2</v>
      </c>
      <c r="C63" s="54">
        <f>($B$24*67.3%)*52.5%</f>
        <v>5.2998749999999997E-2</v>
      </c>
      <c r="D63" s="54">
        <f>($B$24*67.3%)*35.1%</f>
        <v>3.5433449999999998E-2</v>
      </c>
      <c r="E63" s="54">
        <f>($B$24*67.3%)*12.4%</f>
        <v>1.2517799999999997E-2</v>
      </c>
      <c r="F63" s="54">
        <f>$C$24*32.7%</f>
        <v>1.7821500000000001</v>
      </c>
      <c r="G63" s="54">
        <f>($C$24*67.3%)*52.5%</f>
        <v>1.9256212499999998</v>
      </c>
      <c r="H63" s="54">
        <f>($C$24*67.3%)*35.1%</f>
        <v>1.2874153500000001</v>
      </c>
      <c r="I63" s="54">
        <f>($C$24*67.3%)*12.4%</f>
        <v>0.45481339999999992</v>
      </c>
      <c r="J63" s="54">
        <f>$D$24*32.7%</f>
        <v>8.6295300000000008</v>
      </c>
      <c r="K63" s="54">
        <f>($D$24*67.3%)*52.5%</f>
        <v>9.3242467499999986</v>
      </c>
      <c r="L63" s="54">
        <f>($D$24*67.3%)*35.1%</f>
        <v>6.2339249700000003</v>
      </c>
      <c r="M63" s="54">
        <f>($D$24*67.3%)*12.4%</f>
        <v>2.2022982799999999</v>
      </c>
      <c r="N63" s="54">
        <f>$E$24*32.7%</f>
        <v>21.990750000000002</v>
      </c>
      <c r="O63" s="54">
        <f>($E$24*67.3%)*52.5%</f>
        <v>23.761106249999997</v>
      </c>
      <c r="P63" s="54">
        <f>($E$24*67.3%)*35.1%</f>
        <v>15.88599675</v>
      </c>
      <c r="Q63" s="54">
        <f>($E$24*67.3%)*12.4%</f>
        <v>5.6121469999999993</v>
      </c>
      <c r="R63" s="54">
        <f>$F$24*32.7%</f>
        <v>42.552509999999998</v>
      </c>
      <c r="S63" s="54">
        <f>($F$24*67.3%)*52.5%</f>
        <v>45.978182249999996</v>
      </c>
      <c r="T63" s="54">
        <f>($F$24*67.3%)*35.1%</f>
        <v>30.739698989999997</v>
      </c>
      <c r="U63" s="54">
        <f>($F$24*67.3%)*12.4%</f>
        <v>10.859608759999999</v>
      </c>
      <c r="V63" s="54">
        <f>$G$24*32.7%</f>
        <v>70.618920000000003</v>
      </c>
      <c r="W63" s="54">
        <f>($G$24*67.3%)*52.5%</f>
        <v>76.304066999999989</v>
      </c>
      <c r="X63" s="54">
        <f>($G$24*67.3%)*35.1%</f>
        <v>51.014719079999999</v>
      </c>
      <c r="Y63" s="54">
        <f>($G$24*67.3%)*12.4%</f>
        <v>18.022293919999996</v>
      </c>
      <c r="Z63" s="55" t="s">
        <v>14</v>
      </c>
    </row>
    <row r="64" spans="1:26" x14ac:dyDescent="0.25">
      <c r="A64" s="33" t="s">
        <v>217</v>
      </c>
      <c r="B64" s="54">
        <f>$B$25*24%</f>
        <v>0.3024</v>
      </c>
      <c r="C64" s="54">
        <f>($B$25*76%)*69.8%</f>
        <v>0.66840479999999991</v>
      </c>
      <c r="D64" s="54">
        <f>($B$25*76%)*18.2%</f>
        <v>0.1742832</v>
      </c>
      <c r="E64" s="54">
        <f>($B$25*76%)*12%</f>
        <v>0.114912</v>
      </c>
      <c r="F64" s="54">
        <f>$C$25*24%</f>
        <v>10.7376</v>
      </c>
      <c r="G64" s="54">
        <f>($C$25*76%)*69.8%</f>
        <v>23.7336752</v>
      </c>
      <c r="H64" s="54">
        <f>($C$25*76%)*18.2%</f>
        <v>6.1884367999999998</v>
      </c>
      <c r="I64" s="54">
        <f>($C$25*76%)*12%</f>
        <v>4.0802880000000004</v>
      </c>
      <c r="J64" s="54">
        <f>$D$25*24%</f>
        <v>33.6768</v>
      </c>
      <c r="K64" s="54">
        <f>($D$25*76%)*69.8%</f>
        <v>74.436953599999995</v>
      </c>
      <c r="L64" s="54">
        <f>($D$25*76%)*18.2%</f>
        <v>19.4090624</v>
      </c>
      <c r="M64" s="54">
        <f>($D$25*76%)*12%</f>
        <v>12.797183999999998</v>
      </c>
      <c r="N64" s="54">
        <f>$E$25*24%</f>
        <v>70.593599999999995</v>
      </c>
      <c r="O64" s="54">
        <f>($E$25*76%)*69.8%</f>
        <v>156.0353872</v>
      </c>
      <c r="P64" s="54">
        <f>($E$25*76%)*18.2%</f>
        <v>40.685444799999999</v>
      </c>
      <c r="Q64" s="54">
        <f>($E$25*76%)*12%</f>
        <v>26.825568000000001</v>
      </c>
      <c r="R64" s="54">
        <f>$F$25*24%</f>
        <v>121.6056</v>
      </c>
      <c r="S64" s="54">
        <f>($F$25*76%)*69.8%</f>
        <v>268.78891119999997</v>
      </c>
      <c r="T64" s="54">
        <f>($F$25*76%)*18.2%</f>
        <v>70.085360800000004</v>
      </c>
      <c r="U64" s="54">
        <f>($F$25*76%)*12%</f>
        <v>46.210127999999997</v>
      </c>
      <c r="V64" s="54">
        <f>$G$25*24%</f>
        <v>186.39599999999999</v>
      </c>
      <c r="W64" s="54">
        <f>($G$25*76%)*69.8%</f>
        <v>411.99729199999996</v>
      </c>
      <c r="X64" s="54">
        <f>($G$25*76%)*18.2%</f>
        <v>107.42622799999999</v>
      </c>
      <c r="Y64" s="54">
        <f>($G$25*76%)*12%</f>
        <v>70.830479999999994</v>
      </c>
      <c r="Z64" s="55" t="s">
        <v>14</v>
      </c>
    </row>
    <row r="65" spans="1:26" x14ac:dyDescent="0.25">
      <c r="A65" s="33" t="s">
        <v>218</v>
      </c>
      <c r="B65" s="54">
        <f>$B$26*32.7%</f>
        <v>3.9239999999999997E-2</v>
      </c>
      <c r="C65" s="54">
        <f>($B$26*67.3%)*52.5%</f>
        <v>4.2398999999999992E-2</v>
      </c>
      <c r="D65" s="54">
        <f>($B$26*67.3%)*35.1%</f>
        <v>2.8346759999999999E-2</v>
      </c>
      <c r="E65" s="54">
        <f>($B$26*67.3%)*12.4%</f>
        <v>1.0014239999999997E-2</v>
      </c>
      <c r="F65" s="54">
        <f>$C$26*32.7%</f>
        <v>1.44861</v>
      </c>
      <c r="G65" s="54">
        <f>($C$26*67.3%)*52.5%</f>
        <v>1.5652297499999996</v>
      </c>
      <c r="H65" s="54">
        <f>($C$26*67.3%)*35.1%</f>
        <v>1.04646789</v>
      </c>
      <c r="I65" s="54">
        <f>($C$26*67.3%)*12.4%</f>
        <v>0.36969235999999989</v>
      </c>
      <c r="J65" s="54">
        <f>$D$26*32.7%</f>
        <v>6.7460100000000001</v>
      </c>
      <c r="K65" s="54">
        <f>($D$26*67.3%)*52.5%</f>
        <v>7.2890947499999985</v>
      </c>
      <c r="L65" s="54">
        <f>($D$26*67.3%)*35.1%</f>
        <v>4.8732804899999991</v>
      </c>
      <c r="M65" s="54">
        <f>($D$26*67.3%)*12.4%</f>
        <v>1.7216147599999996</v>
      </c>
      <c r="N65" s="54">
        <f>$E$26*32.7%</f>
        <v>16.82742</v>
      </c>
      <c r="O65" s="54">
        <f>($E$26*67.3%)*52.5%</f>
        <v>18.182104499999998</v>
      </c>
      <c r="P65" s="54">
        <f>($E$26*67.3%)*35.1%</f>
        <v>12.156035580000001</v>
      </c>
      <c r="Q65" s="54">
        <f>($E$26*67.3%)*12.4%</f>
        <v>4.2944399199999994</v>
      </c>
      <c r="R65" s="54">
        <f>$F$26*32.7%</f>
        <v>32.078699999999998</v>
      </c>
      <c r="S65" s="54">
        <f>($F$26*67.3%)*52.5%</f>
        <v>34.661182500000002</v>
      </c>
      <c r="T65" s="54">
        <f>($F$26*67.3%)*35.1%</f>
        <v>23.173476300000001</v>
      </c>
      <c r="U65" s="54">
        <f>($F$26*67.3%)*12.4%</f>
        <v>8.1866412000000004</v>
      </c>
      <c r="V65" s="54">
        <f>$G$26*32.7%</f>
        <v>52.607759999999999</v>
      </c>
      <c r="W65" s="54">
        <f>($G$26*67.3%)*52.5%</f>
        <v>56.842925999999991</v>
      </c>
      <c r="X65" s="54">
        <f>($G$26*67.3%)*35.1%</f>
        <v>38.003556239999995</v>
      </c>
      <c r="Y65" s="54">
        <f>($G$26*67.3%)*12.4%</f>
        <v>13.425757759999998</v>
      </c>
      <c r="Z65" s="55" t="s">
        <v>14</v>
      </c>
    </row>
    <row r="66" spans="1:26" x14ac:dyDescent="0.25">
      <c r="A66" s="33" t="s">
        <v>219</v>
      </c>
      <c r="B66" s="54">
        <f>$B$27*32.7%</f>
        <v>4.2510000000000006E-2</v>
      </c>
      <c r="C66" s="54">
        <f>($B$27*67.3%)*52.5%</f>
        <v>4.5932250000000001E-2</v>
      </c>
      <c r="D66" s="54">
        <f>($B$27*67.3%)*35.1%</f>
        <v>3.0708990000000002E-2</v>
      </c>
      <c r="E66" s="54">
        <f>($B$27*67.3%)*12.4%</f>
        <v>1.0848759999999999E-2</v>
      </c>
      <c r="F66" s="54">
        <f>$C$27*32.7%</f>
        <v>1.5303599999999999</v>
      </c>
      <c r="G66" s="54">
        <f>($C$27*67.3%)*52.5%</f>
        <v>1.6535609999999996</v>
      </c>
      <c r="H66" s="54">
        <f>($C$27*67.3%)*35.1%</f>
        <v>1.1055236399999999</v>
      </c>
      <c r="I66" s="54">
        <f>($C$27*67.3%)*12.4%</f>
        <v>0.39055535999999991</v>
      </c>
      <c r="J66" s="54">
        <f>$D$27*32.7%</f>
        <v>7.1580300000000001</v>
      </c>
      <c r="K66" s="54">
        <f>($D$27*67.3%)*52.5%</f>
        <v>7.73428425</v>
      </c>
      <c r="L66" s="54">
        <f>($D$27*67.3%)*35.1%</f>
        <v>5.1709214699999997</v>
      </c>
      <c r="M66" s="54">
        <f>($D$27*67.3%)*12.4%</f>
        <v>1.8267642799999999</v>
      </c>
      <c r="N66" s="54">
        <f>$E$27*32.7%</f>
        <v>17.824770000000001</v>
      </c>
      <c r="O66" s="54">
        <f>($E$27*67.3%)*52.5%</f>
        <v>19.25974575</v>
      </c>
      <c r="P66" s="54">
        <f>($E$27*67.3%)*35.1%</f>
        <v>12.876515729999999</v>
      </c>
      <c r="Q66" s="54">
        <f>($E$27*67.3%)*12.4%</f>
        <v>4.5489685199999998</v>
      </c>
      <c r="R66" s="54">
        <f>$F$27*32.7%</f>
        <v>33.86412</v>
      </c>
      <c r="S66" s="54">
        <f>($F$27*67.3%)*52.5%</f>
        <v>36.590336999999998</v>
      </c>
      <c r="T66" s="54">
        <f>($F$27*67.3%)*35.1%</f>
        <v>24.46325388</v>
      </c>
      <c r="U66" s="54">
        <f>($F$27*67.3%)*12.4%</f>
        <v>8.6422891199999992</v>
      </c>
      <c r="V66" s="54">
        <f>$G$27*32.7%</f>
        <v>55.338209999999997</v>
      </c>
      <c r="W66" s="54">
        <f>($G$27*67.3%)*52.5%</f>
        <v>59.793189749999996</v>
      </c>
      <c r="X66" s="54">
        <f>($G$27*67.3%)*35.1%</f>
        <v>39.976018289999999</v>
      </c>
      <c r="Y66" s="54">
        <f>($G$27*67.3%)*12.4%</f>
        <v>14.122581959999998</v>
      </c>
      <c r="Z66" s="55" t="s">
        <v>14</v>
      </c>
    </row>
    <row r="67" spans="1:26" x14ac:dyDescent="0.25">
      <c r="A67" s="33" t="s">
        <v>220</v>
      </c>
      <c r="B67" s="54">
        <f>$B$28*32.7%</f>
        <v>3.9239999999999997E-2</v>
      </c>
      <c r="C67" s="54">
        <f>($B$28*67.3%)*52.5%</f>
        <v>4.2398999999999992E-2</v>
      </c>
      <c r="D67" s="54">
        <f>($B$28*67.3%)*35.1%</f>
        <v>2.8346759999999999E-2</v>
      </c>
      <c r="E67" s="54">
        <f>($B$28*67.3%)*12.4%</f>
        <v>1.0014239999999997E-2</v>
      </c>
      <c r="F67" s="54">
        <f>$C$28*32.7%</f>
        <v>1.4191800000000001</v>
      </c>
      <c r="G67" s="54">
        <f>($C$28*67.3%)*52.5%</f>
        <v>1.5334304999999999</v>
      </c>
      <c r="H67" s="54">
        <f>($C$28*67.3%)*35.1%</f>
        <v>1.0252078199999999</v>
      </c>
      <c r="I67" s="54">
        <f>($C$28*67.3%)*12.4%</f>
        <v>0.36218167999999995</v>
      </c>
      <c r="J67" s="54">
        <f>$D$28*32.7%</f>
        <v>6.7002299999999995</v>
      </c>
      <c r="K67" s="54">
        <f>($D$28*67.3%)*52.5%</f>
        <v>7.2396292499999992</v>
      </c>
      <c r="L67" s="54">
        <f>($D$28*67.3%)*35.1%</f>
        <v>4.8402092699999999</v>
      </c>
      <c r="M67" s="54">
        <f>($D$28*67.3%)*12.4%</f>
        <v>1.7099314799999996</v>
      </c>
      <c r="N67" s="54">
        <f>$E$28*32.7%</f>
        <v>16.97784</v>
      </c>
      <c r="O67" s="54">
        <f>($E$28*67.3%)*52.5%</f>
        <v>18.344633999999999</v>
      </c>
      <c r="P67" s="54">
        <f>($E$28*67.3%)*35.1%</f>
        <v>12.26469816</v>
      </c>
      <c r="Q67" s="54">
        <f>($E$28*67.3%)*12.4%</f>
        <v>4.3328278399999993</v>
      </c>
      <c r="R67" s="54">
        <f>$F$28*32.7%</f>
        <v>32.870040000000003</v>
      </c>
      <c r="S67" s="54">
        <f>($F$28*67.3%)*52.5%</f>
        <v>35.516228999999996</v>
      </c>
      <c r="T67" s="54">
        <f>($F$28*67.3%)*35.1%</f>
        <v>23.745135959999999</v>
      </c>
      <c r="U67" s="54">
        <f>($F$28*67.3%)*12.4%</f>
        <v>8.3885950399999984</v>
      </c>
      <c r="V67" s="54">
        <f>$G$28*32.7%</f>
        <v>54.703829999999996</v>
      </c>
      <c r="W67" s="54">
        <f>($G$28*67.3%)*52.5%</f>
        <v>59.107739249999995</v>
      </c>
      <c r="X67" s="54">
        <f>($G$28*67.3%)*35.1%</f>
        <v>39.517745669999996</v>
      </c>
      <c r="Y67" s="54">
        <f>($G$28*67.3%)*12.4%</f>
        <v>13.960685079999998</v>
      </c>
      <c r="Z67" s="55" t="s">
        <v>14</v>
      </c>
    </row>
    <row r="68" spans="1:26" x14ac:dyDescent="0.25">
      <c r="A68" s="33" t="s">
        <v>221</v>
      </c>
      <c r="B68" s="54">
        <f>$B$29*27.4%</f>
        <v>2.1919999999999999E-2</v>
      </c>
      <c r="C68" s="54">
        <f>($B$29*72.6%)*59.3%</f>
        <v>3.4441439999999997E-2</v>
      </c>
      <c r="D68" s="54">
        <f>($B$29*72.6%)*19.5%</f>
        <v>1.13256E-2</v>
      </c>
      <c r="E68" s="54">
        <f>($B$29*72.6%)*21.2%</f>
        <v>1.231296E-2</v>
      </c>
      <c r="F68" s="54">
        <f>$C$29*27.4%</f>
        <v>0.73705999999999994</v>
      </c>
      <c r="G68" s="54">
        <f>($C$29*72.6%)*59.3%</f>
        <v>1.1580934199999999</v>
      </c>
      <c r="H68" s="54">
        <f>($C$29*72.6%)*19.5%</f>
        <v>0.38082329999999998</v>
      </c>
      <c r="I68" s="54">
        <f>($C$29*72.6%)*21.2%</f>
        <v>0.41402327999999999</v>
      </c>
      <c r="J68" s="54">
        <f>$D$29*27.4%</f>
        <v>2.8578199999999994</v>
      </c>
      <c r="K68" s="54">
        <f>($D$29*72.6%)*59.3%</f>
        <v>4.4903027399999997</v>
      </c>
      <c r="L68" s="54">
        <f>($D$29*72.6%)*19.5%</f>
        <v>1.4765751</v>
      </c>
      <c r="M68" s="54">
        <f>($D$29*72.6%)*21.2%</f>
        <v>1.6053021599999999</v>
      </c>
      <c r="N68" s="54">
        <f>$E$29*27.4%</f>
        <v>6.0142999999999986</v>
      </c>
      <c r="O68" s="54">
        <f>($E$29*72.6%)*59.3%</f>
        <v>9.4498700999999983</v>
      </c>
      <c r="P68" s="54">
        <f>($E$29*72.6%)*19.5%</f>
        <v>3.1074614999999999</v>
      </c>
      <c r="Q68" s="54">
        <f>($E$29*72.6%)*21.2%</f>
        <v>3.3783683999999998</v>
      </c>
      <c r="R68" s="54">
        <f>$F$29*27.4%</f>
        <v>10.069499999999998</v>
      </c>
      <c r="S68" s="54">
        <f>($F$29*72.6%)*59.3%</f>
        <v>15.821536499999999</v>
      </c>
      <c r="T68" s="54">
        <f>($F$29*72.6%)*19.5%</f>
        <v>5.2026975000000002</v>
      </c>
      <c r="U68" s="54">
        <f>($F$29*72.6%)*21.2%</f>
        <v>5.6562659999999996</v>
      </c>
      <c r="V68" s="54">
        <f>$G$29*27.4%</f>
        <v>14.943959999999997</v>
      </c>
      <c r="W68" s="54">
        <f>($G$29*72.6%)*59.3%</f>
        <v>23.480451719999994</v>
      </c>
      <c r="X68" s="54">
        <f>($G$29*72.6%)*19.5%</f>
        <v>7.7212277999999994</v>
      </c>
      <c r="Y68" s="54">
        <f>($G$29*72.6%)*21.2%</f>
        <v>8.3943604799999996</v>
      </c>
      <c r="Z68" s="55" t="s">
        <v>15</v>
      </c>
    </row>
    <row r="69" spans="1:26" x14ac:dyDescent="0.25">
      <c r="A69" s="33" t="s">
        <v>222</v>
      </c>
      <c r="B69" s="54">
        <f>$B$30*32.7%</f>
        <v>5.5590000000000007E-2</v>
      </c>
      <c r="C69" s="54">
        <f>($B$30*67.3%)*52.5%</f>
        <v>6.0065250000000001E-2</v>
      </c>
      <c r="D69" s="54">
        <f>($B$30*67.3%)*35.1%</f>
        <v>4.0157910000000005E-2</v>
      </c>
      <c r="E69" s="54">
        <f>($B$30*67.3%)*12.4%</f>
        <v>1.4186839999999999E-2</v>
      </c>
      <c r="F69" s="54">
        <f>$C$30*32.7%</f>
        <v>1.9881600000000001</v>
      </c>
      <c r="G69" s="54">
        <f>($C$30*67.3%)*52.5%</f>
        <v>2.1482159999999997</v>
      </c>
      <c r="H69" s="54">
        <f>($C$30*67.3%)*35.1%</f>
        <v>1.4362358399999999</v>
      </c>
      <c r="I69" s="54">
        <f>($C$30*67.3%)*12.4%</f>
        <v>0.50738815999999998</v>
      </c>
      <c r="J69" s="54">
        <f>$D$30*32.7%</f>
        <v>8.7799500000000013</v>
      </c>
      <c r="K69" s="54">
        <f>($D$30*67.3%)*52.5%</f>
        <v>9.4867762500000001</v>
      </c>
      <c r="L69" s="54">
        <f>($D$30*67.3%)*35.1%</f>
        <v>6.3425875500000002</v>
      </c>
      <c r="M69" s="54">
        <f>($D$30*67.3%)*12.4%</f>
        <v>2.2406861999999999</v>
      </c>
      <c r="N69" s="54">
        <f>$E$30*32.7%</f>
        <v>20.597730000000002</v>
      </c>
      <c r="O69" s="54">
        <f>($E$30*67.3%)*52.5%</f>
        <v>22.255941749999998</v>
      </c>
      <c r="P69" s="54">
        <f>($E$30*67.3%)*35.1%</f>
        <v>14.879686769999999</v>
      </c>
      <c r="Q69" s="54">
        <f>($E$30*67.3%)*12.4%</f>
        <v>5.2566414799999999</v>
      </c>
      <c r="R69" s="54">
        <f>$F$30*32.7%</f>
        <v>37.232219999999998</v>
      </c>
      <c r="S69" s="54">
        <f>($F$30*67.3%)*52.5%</f>
        <v>40.229584499999994</v>
      </c>
      <c r="T69" s="54">
        <f>($F$30*67.3%)*35.1%</f>
        <v>26.896350779999999</v>
      </c>
      <c r="U69" s="54">
        <f>($F$30*67.3%)*12.4%</f>
        <v>9.5018447199999976</v>
      </c>
      <c r="V69" s="54">
        <f>$G$30*32.7%</f>
        <v>58.490490000000001</v>
      </c>
      <c r="W69" s="54">
        <f>($G$30*67.3%)*52.5%</f>
        <v>63.199242750000003</v>
      </c>
      <c r="X69" s="54">
        <f>($G$30*67.3%)*35.1%</f>
        <v>42.253208010000002</v>
      </c>
      <c r="Y69" s="54">
        <f>($G$30*67.3%)*12.4%</f>
        <v>14.92705924</v>
      </c>
      <c r="Z69" s="55" t="s">
        <v>14</v>
      </c>
    </row>
    <row r="70" spans="1:26" x14ac:dyDescent="0.25">
      <c r="A70" s="33" t="s">
        <v>224</v>
      </c>
      <c r="B70" s="54">
        <f>$B$31*32.7%</f>
        <v>5.2320000000000005E-2</v>
      </c>
      <c r="C70" s="54">
        <f>($B$31*67.3%)*52.5%</f>
        <v>5.6531999999999999E-2</v>
      </c>
      <c r="D70" s="54">
        <f>($B$31*67.3%)*35.1%</f>
        <v>3.7795680000000005E-2</v>
      </c>
      <c r="E70" s="54">
        <f>($B$31*67.3%)*12.4%</f>
        <v>1.3352319999999999E-2</v>
      </c>
      <c r="F70" s="54">
        <f>$C$31*32.7%</f>
        <v>1.8442799999999999</v>
      </c>
      <c r="G70" s="54">
        <f>($C$31*67.3%)*52.5%</f>
        <v>1.9927529999999998</v>
      </c>
      <c r="H70" s="54">
        <f>($C$31*67.3%)*35.1%</f>
        <v>1.3322977199999999</v>
      </c>
      <c r="I70" s="54">
        <f>($C$31*67.3%)*12.4%</f>
        <v>0.47066927999999991</v>
      </c>
      <c r="J70" s="54">
        <f>$D$31*32.7%</f>
        <v>4.2575399999999997</v>
      </c>
      <c r="K70" s="54">
        <f>($D$31*67.3%)*52.5%</f>
        <v>4.6002915</v>
      </c>
      <c r="L70" s="54">
        <f>($D$31*67.3%)*35.1%</f>
        <v>3.0756234600000001</v>
      </c>
      <c r="M70" s="54">
        <f>($D$31*67.3%)*12.4%</f>
        <v>1.0865450399999999</v>
      </c>
      <c r="N70" s="54">
        <f>$E$31*32.7%</f>
        <v>9.3718199999999996</v>
      </c>
      <c r="O70" s="54">
        <f>($E$31*67.3%)*52.5%</f>
        <v>10.126294499999998</v>
      </c>
      <c r="P70" s="54">
        <f>($E$31*67.3%)*35.1%</f>
        <v>6.77015118</v>
      </c>
      <c r="Q70" s="54">
        <f>($E$31*67.3%)*12.4%</f>
        <v>2.3917343199999994</v>
      </c>
      <c r="R70" s="54">
        <f>$F$31*32.7%</f>
        <v>21.784740000000003</v>
      </c>
      <c r="S70" s="54">
        <f>($F$31*67.3%)*52.5%</f>
        <v>23.538511499999998</v>
      </c>
      <c r="T70" s="54">
        <f>($F$31*67.3%)*35.1%</f>
        <v>15.73717626</v>
      </c>
      <c r="U70" s="54">
        <f>($F$31*67.3%)*12.4%</f>
        <v>5.5595722399999996</v>
      </c>
      <c r="V70" s="54">
        <f>$G$31*32.7%</f>
        <v>26.14038</v>
      </c>
      <c r="W70" s="54">
        <f>($G$31*67.3%)*52.5%</f>
        <v>28.244800499999997</v>
      </c>
      <c r="X70" s="54">
        <f>($G$31*67.3%)*35.1%</f>
        <v>18.88366662</v>
      </c>
      <c r="Y70" s="54">
        <f>($G$31*67.3%)*12.4%</f>
        <v>6.6711528799999984</v>
      </c>
      <c r="Z70" s="55" t="s">
        <v>14</v>
      </c>
    </row>
    <row r="71" spans="1:26" ht="15.75" thickBot="1" x14ac:dyDescent="0.3">
      <c r="A71" s="36" t="s">
        <v>223</v>
      </c>
      <c r="B71" s="209">
        <f>$B$32*27.4%</f>
        <v>4.9319999999999989E-2</v>
      </c>
      <c r="C71" s="209">
        <f>($B$32*72.6%)*59.3%</f>
        <v>7.7493239999999991E-2</v>
      </c>
      <c r="D71" s="209">
        <f>($B$32*72.6%)*19.5%</f>
        <v>2.5482599999999998E-2</v>
      </c>
      <c r="E71" s="209">
        <f>($B$32*72.6%)*21.2%</f>
        <v>2.7704159999999999E-2</v>
      </c>
      <c r="F71" s="209">
        <f>$C$32*27.4%</f>
        <v>1.7261999999999997</v>
      </c>
      <c r="G71" s="209">
        <f>($C$32*72.6%)*59.3%</f>
        <v>2.7122633999999994</v>
      </c>
      <c r="H71" s="209">
        <f>($C$32*72.6%)*19.5%</f>
        <v>0.89189099999999988</v>
      </c>
      <c r="I71" s="209">
        <f>($C$32*72.6%)*21.2%</f>
        <v>0.96964559999999989</v>
      </c>
      <c r="J71" s="209">
        <f>$D$32*27.4%</f>
        <v>3.9839599999999993</v>
      </c>
      <c r="K71" s="209">
        <f>($D$32*72.6%)*59.3%</f>
        <v>6.2597317199999996</v>
      </c>
      <c r="L71" s="209">
        <f>($D$32*72.6%)*19.5%</f>
        <v>2.0584278</v>
      </c>
      <c r="M71" s="209">
        <f>($D$32*72.6%)*21.2%</f>
        <v>2.2378804799999998</v>
      </c>
      <c r="N71" s="209">
        <f>$E$32*27.4%</f>
        <v>8.7214199999999984</v>
      </c>
      <c r="O71" s="209">
        <f>($E$32*72.6%)*59.3%</f>
        <v>13.703387939999997</v>
      </c>
      <c r="P71" s="209">
        <f>($E$32*72.6%)*19.5%</f>
        <v>4.5061730999999998</v>
      </c>
      <c r="Q71" s="209">
        <f>($E$32*72.6%)*21.2%</f>
        <v>4.8990189599999994</v>
      </c>
      <c r="R71" s="209">
        <f>$F$32*27.4%</f>
        <v>13.239679999999998</v>
      </c>
      <c r="S71" s="209">
        <f>($F$32*72.6%)*59.3%</f>
        <v>20.802629759999999</v>
      </c>
      <c r="T71" s="209">
        <f>($F$32*72.6%)*19.5%</f>
        <v>6.8406624000000003</v>
      </c>
      <c r="U71" s="209">
        <f>($F$32*72.6%)*21.2%</f>
        <v>7.4370278399999998</v>
      </c>
      <c r="V71" s="209">
        <f>$G$32*27.4%</f>
        <v>15.886519999999997</v>
      </c>
      <c r="W71" s="209">
        <f>($G$32*72.6%)*59.3%</f>
        <v>24.961433639999999</v>
      </c>
      <c r="X71" s="209">
        <f>($G$32*72.6%)*19.5%</f>
        <v>8.2082286</v>
      </c>
      <c r="Y71" s="209">
        <f>($G$32*72.6%)*21.2%</f>
        <v>8.9238177600000004</v>
      </c>
      <c r="Z71" s="210" t="s">
        <v>14</v>
      </c>
    </row>
    <row r="73" spans="1:26" x14ac:dyDescent="0.25">
      <c r="A73" s="28" t="s">
        <v>229</v>
      </c>
      <c r="B73" s="29"/>
      <c r="C73" s="29"/>
      <c r="D73" s="29"/>
      <c r="E73" s="29"/>
      <c r="F73" s="29"/>
      <c r="G73" s="29"/>
    </row>
    <row r="74" spans="1:26" x14ac:dyDescent="0.25">
      <c r="A74" s="40"/>
    </row>
    <row r="75" spans="1:26" ht="15.75" thickBot="1" x14ac:dyDescent="0.3">
      <c r="A75" s="41" t="s">
        <v>230</v>
      </c>
    </row>
    <row r="76" spans="1:26" x14ac:dyDescent="0.25">
      <c r="A76" s="30" t="s">
        <v>126</v>
      </c>
      <c r="B76" s="31" t="s">
        <v>60</v>
      </c>
      <c r="C76" s="31" t="s">
        <v>61</v>
      </c>
      <c r="D76" s="31" t="s">
        <v>62</v>
      </c>
      <c r="E76" s="56" t="s">
        <v>64</v>
      </c>
      <c r="F76" s="31" t="s">
        <v>41</v>
      </c>
      <c r="G76" s="32" t="s">
        <v>231</v>
      </c>
      <c r="H76" t="s">
        <v>8</v>
      </c>
      <c r="I76" t="s">
        <v>9</v>
      </c>
    </row>
    <row r="77" spans="1:26" x14ac:dyDescent="0.25">
      <c r="A77" s="33" t="s">
        <v>232</v>
      </c>
      <c r="B77" s="59">
        <f>(($B$84)*H77)+(($B$90)*I77)</f>
        <v>41.477747866429922</v>
      </c>
      <c r="C77" s="59">
        <f>(($C$84)*H77)+(($C$90)*I77)</f>
        <v>0.11638696374362795</v>
      </c>
      <c r="D77" s="59">
        <f>(($D$84)*H77)+(($D$90)*I77)</f>
        <v>2.7492983561486917E-4</v>
      </c>
      <c r="E77" s="57">
        <v>4.48E-2</v>
      </c>
      <c r="F77" t="s">
        <v>63</v>
      </c>
      <c r="G77" s="34" t="s">
        <v>56</v>
      </c>
      <c r="I77">
        <f>E77/E90</f>
        <v>18.328655707657944</v>
      </c>
      <c r="L77" s="57"/>
    </row>
    <row r="78" spans="1:26" x14ac:dyDescent="0.25">
      <c r="A78" s="33" t="s">
        <v>233</v>
      </c>
      <c r="B78" s="59">
        <f t="shared" ref="B78:B83" si="0">(($B$84)*H78)+(($B$90)*I78)</f>
        <v>63.888645963223382</v>
      </c>
      <c r="C78" s="59">
        <f t="shared" ref="C78:C83" si="1">(($C$84)*H78)+(($C$90)*I78)</f>
        <v>0.10487757925970882</v>
      </c>
      <c r="D78" s="59">
        <f t="shared" ref="D78:D83" si="2">(($D$84)*H78)+(($D$90)*I78)</f>
        <v>1.4112438660466651E-3</v>
      </c>
      <c r="E78" s="57">
        <v>6.7199999999999996E-2</v>
      </c>
      <c r="F78" t="s">
        <v>63</v>
      </c>
      <c r="G78" s="34" t="s">
        <v>56</v>
      </c>
      <c r="H78">
        <f>(E78*40%/E84)</f>
        <v>9.9470684956690842</v>
      </c>
      <c r="I78">
        <f>(E78*60%/E90)</f>
        <v>16.495790136892147</v>
      </c>
      <c r="L78" s="57"/>
    </row>
    <row r="79" spans="1:26" x14ac:dyDescent="0.25">
      <c r="A79" s="33" t="s">
        <v>234</v>
      </c>
      <c r="B79" s="59">
        <f t="shared" si="0"/>
        <v>450.73820016613405</v>
      </c>
      <c r="C79" s="59">
        <f t="shared" si="1"/>
        <v>0.73991756439029699</v>
      </c>
      <c r="D79" s="59">
        <f t="shared" si="2"/>
        <v>9.9564094775702969E-3</v>
      </c>
      <c r="E79" s="57">
        <v>0.47410000000000002</v>
      </c>
      <c r="F79" t="s">
        <v>63</v>
      </c>
      <c r="G79" s="34" t="s">
        <v>56</v>
      </c>
      <c r="H79">
        <f>(E79*40%/E84)</f>
        <v>70.177160324355853</v>
      </c>
      <c r="I79">
        <f>(E79*60%/E90)</f>
        <v>116.37878130804415</v>
      </c>
      <c r="K79" s="23"/>
      <c r="L79" s="57"/>
    </row>
    <row r="80" spans="1:26" x14ac:dyDescent="0.25">
      <c r="A80" s="33" t="s">
        <v>235</v>
      </c>
      <c r="B80" s="59">
        <f t="shared" si="0"/>
        <v>307.55918108783879</v>
      </c>
      <c r="C80" s="59">
        <f t="shared" si="1"/>
        <v>0.50487941801362812</v>
      </c>
      <c r="D80" s="59">
        <f t="shared" si="2"/>
        <v>6.7937111706264323E-3</v>
      </c>
      <c r="E80" s="57">
        <v>0.32350000000000001</v>
      </c>
      <c r="F80" t="s">
        <v>63</v>
      </c>
      <c r="G80" s="34" t="s">
        <v>56</v>
      </c>
      <c r="H80">
        <f>(E80*40%/E84)</f>
        <v>47.88506932066889</v>
      </c>
      <c r="I80">
        <f>(E80*60%/E90)</f>
        <v>79.410537340544792</v>
      </c>
      <c r="K80" s="23"/>
      <c r="L80" s="57"/>
    </row>
    <row r="81" spans="1:12" x14ac:dyDescent="0.25">
      <c r="A81" s="33" t="s">
        <v>236</v>
      </c>
      <c r="B81" s="59">
        <f t="shared" si="0"/>
        <v>0.76079531697344016</v>
      </c>
      <c r="C81" s="59">
        <f t="shared" si="1"/>
        <v>3.7042468616684349E-6</v>
      </c>
      <c r="D81" s="59">
        <f t="shared" si="2"/>
        <v>3.3338221755015919E-5</v>
      </c>
      <c r="E81" s="58">
        <v>7.6999999999999996E-4</v>
      </c>
      <c r="F81" t="s">
        <v>63</v>
      </c>
      <c r="G81" s="34" t="s">
        <v>57</v>
      </c>
      <c r="H81">
        <f>E81/E84</f>
        <v>0.28494206628218732</v>
      </c>
      <c r="L81" s="57"/>
    </row>
    <row r="82" spans="1:12" x14ac:dyDescent="0.25">
      <c r="A82" s="33" t="s">
        <v>237</v>
      </c>
      <c r="B82" s="59">
        <f t="shared" si="0"/>
        <v>0.80099999999999993</v>
      </c>
      <c r="C82" s="59">
        <f t="shared" si="1"/>
        <v>3.8999999999999999E-6</v>
      </c>
      <c r="D82" s="59">
        <f t="shared" si="2"/>
        <v>3.5099999999999999E-5</v>
      </c>
      <c r="E82" s="58">
        <f>H82*E84</f>
        <v>8.1069110999999999E-4</v>
      </c>
      <c r="F82" t="s">
        <v>63</v>
      </c>
      <c r="G82" s="34" t="s">
        <v>58</v>
      </c>
      <c r="H82" s="27">
        <f>12/40</f>
        <v>0.3</v>
      </c>
      <c r="J82" t="s">
        <v>250</v>
      </c>
      <c r="L82" s="57"/>
    </row>
    <row r="83" spans="1:12" x14ac:dyDescent="0.25">
      <c r="A83" s="33" t="s">
        <v>238</v>
      </c>
      <c r="B83" s="59">
        <f t="shared" si="0"/>
        <v>57.672000000000004</v>
      </c>
      <c r="C83" s="59">
        <f t="shared" si="1"/>
        <v>2.8079999999999999E-4</v>
      </c>
      <c r="D83" s="59">
        <f t="shared" si="2"/>
        <v>2.5272000000000003E-3</v>
      </c>
      <c r="E83" s="58">
        <f>H83*E84</f>
        <v>5.836975992E-2</v>
      </c>
      <c r="F83" t="s">
        <v>63</v>
      </c>
      <c r="G83" s="34" t="s">
        <v>57</v>
      </c>
      <c r="H83">
        <f>1.8*12</f>
        <v>21.6</v>
      </c>
      <c r="J83" t="s">
        <v>251</v>
      </c>
      <c r="L83" s="57"/>
    </row>
    <row r="84" spans="1:12" x14ac:dyDescent="0.25">
      <c r="A84" s="33" t="s">
        <v>239</v>
      </c>
      <c r="B84" s="61">
        <v>2.67</v>
      </c>
      <c r="C84" s="61">
        <v>1.2999999999999999E-5</v>
      </c>
      <c r="D84" s="61">
        <v>1.17E-4</v>
      </c>
      <c r="E84" s="57">
        <f>(B84+(C84*$B$135)+(D84*$B$136))/1000</f>
        <v>2.7023036999999999E-3</v>
      </c>
      <c r="F84" t="s">
        <v>63</v>
      </c>
      <c r="G84" s="34" t="s">
        <v>59</v>
      </c>
    </row>
    <row r="85" spans="1:12" x14ac:dyDescent="0.25">
      <c r="A85" s="33" t="s">
        <v>240</v>
      </c>
      <c r="B85" s="59">
        <v>2.4689999999999999</v>
      </c>
      <c r="C85" s="59">
        <v>1.2999999999999999E-5</v>
      </c>
      <c r="D85" s="59">
        <v>1.16E-4</v>
      </c>
      <c r="E85" s="57">
        <f>(B85+(C85*$B$135)+(D85*$B$136))/1000</f>
        <v>2.5010306999999998E-3</v>
      </c>
      <c r="F85" t="s">
        <v>63</v>
      </c>
      <c r="G85" s="34" t="s">
        <v>59</v>
      </c>
    </row>
    <row r="86" spans="1:12" x14ac:dyDescent="0.25">
      <c r="A86" s="33" t="s">
        <v>241</v>
      </c>
      <c r="B86" s="59">
        <v>2.3940000000000001</v>
      </c>
      <c r="C86" s="59">
        <v>1.2999999999999999E-5</v>
      </c>
      <c r="D86" s="59">
        <v>1.16E-4</v>
      </c>
      <c r="E86" s="57">
        <f t="shared" ref="E86:E94" si="3">(B86+(C86*$B$135)+(D86*$B$136))/1000</f>
        <v>2.4260307000000003E-3</v>
      </c>
      <c r="F86" t="s">
        <v>63</v>
      </c>
      <c r="G86" s="34" t="s">
        <v>59</v>
      </c>
    </row>
    <row r="87" spans="1:12" x14ac:dyDescent="0.25">
      <c r="A87" s="33" t="s">
        <v>242</v>
      </c>
      <c r="B87" s="59">
        <v>2.1429999999999998</v>
      </c>
      <c r="C87" s="59">
        <v>1.2999999999999999E-5</v>
      </c>
      <c r="D87" s="59">
        <v>1.16E-4</v>
      </c>
      <c r="E87" s="57">
        <f t="shared" si="3"/>
        <v>2.1750306999999999E-3</v>
      </c>
      <c r="F87" t="s">
        <v>63</v>
      </c>
      <c r="G87" s="34" t="s">
        <v>59</v>
      </c>
    </row>
    <row r="88" spans="1:12" x14ac:dyDescent="0.25">
      <c r="A88" s="33" t="s">
        <v>243</v>
      </c>
      <c r="B88" s="59">
        <v>1.8919999999999999</v>
      </c>
      <c r="C88" s="59">
        <v>1.2999999999999999E-5</v>
      </c>
      <c r="D88" s="59">
        <v>1.16E-4</v>
      </c>
      <c r="E88" s="57">
        <f t="shared" si="3"/>
        <v>1.9240306999999998E-3</v>
      </c>
      <c r="F88" t="s">
        <v>63</v>
      </c>
      <c r="G88" s="34" t="s">
        <v>59</v>
      </c>
    </row>
    <row r="89" spans="1:12" x14ac:dyDescent="0.25">
      <c r="A89" s="33" t="s">
        <v>244</v>
      </c>
      <c r="B89" s="59">
        <v>0.13600000000000001</v>
      </c>
      <c r="C89" s="59">
        <v>1.2999999999999999E-5</v>
      </c>
      <c r="D89" s="59">
        <v>1.16E-4</v>
      </c>
      <c r="E89" s="57">
        <f t="shared" si="3"/>
        <v>1.680307E-4</v>
      </c>
      <c r="F89" t="s">
        <v>63</v>
      </c>
      <c r="G89" s="34" t="s">
        <v>59</v>
      </c>
    </row>
    <row r="90" spans="1:12" x14ac:dyDescent="0.25">
      <c r="A90" s="33" t="s">
        <v>245</v>
      </c>
      <c r="B90" s="61">
        <v>2.2629999999999999</v>
      </c>
      <c r="C90" s="61">
        <v>6.3499999999999997E-3</v>
      </c>
      <c r="D90" s="61">
        <v>1.5E-5</v>
      </c>
      <c r="E90" s="57">
        <f t="shared" si="3"/>
        <v>2.4442599999999997E-3</v>
      </c>
      <c r="F90" t="s">
        <v>63</v>
      </c>
      <c r="G90" s="34" t="s">
        <v>59</v>
      </c>
    </row>
    <row r="91" spans="1:12" x14ac:dyDescent="0.25">
      <c r="A91" s="33" t="s">
        <v>246</v>
      </c>
      <c r="B91" s="59">
        <v>2.1440000000000001</v>
      </c>
      <c r="C91" s="59">
        <v>6.3499999999999997E-3</v>
      </c>
      <c r="D91" s="59">
        <v>1.5E-5</v>
      </c>
      <c r="E91" s="57">
        <f t="shared" si="3"/>
        <v>2.32526E-3</v>
      </c>
      <c r="F91" t="s">
        <v>63</v>
      </c>
      <c r="G91" s="34" t="s">
        <v>59</v>
      </c>
    </row>
    <row r="92" spans="1:12" x14ac:dyDescent="0.25">
      <c r="A92" s="33" t="s">
        <v>247</v>
      </c>
      <c r="B92" s="59">
        <v>0.35699999999999998</v>
      </c>
      <c r="C92" s="59">
        <v>6.3499999999999997E-3</v>
      </c>
      <c r="D92" s="59">
        <v>1.5E-5</v>
      </c>
      <c r="E92" s="57">
        <f t="shared" si="3"/>
        <v>5.3825999999999993E-4</v>
      </c>
      <c r="F92" t="s">
        <v>63</v>
      </c>
      <c r="G92" s="34" t="s">
        <v>59</v>
      </c>
    </row>
    <row r="93" spans="1:12" x14ac:dyDescent="0.25">
      <c r="A93" s="33" t="s">
        <v>248</v>
      </c>
      <c r="B93" s="59">
        <v>0</v>
      </c>
      <c r="C93" s="59">
        <v>6.3499999999999997E-3</v>
      </c>
      <c r="D93" s="59">
        <v>1.5E-5</v>
      </c>
      <c r="E93" s="57">
        <f t="shared" si="3"/>
        <v>1.8125999999999998E-4</v>
      </c>
      <c r="F93" t="s">
        <v>63</v>
      </c>
      <c r="G93" s="34" t="s">
        <v>59</v>
      </c>
    </row>
    <row r="94" spans="1:12" ht="15.75" thickBot="1" x14ac:dyDescent="0.3">
      <c r="A94" s="36" t="s">
        <v>249</v>
      </c>
      <c r="B94" s="62">
        <v>0.51</v>
      </c>
      <c r="C94" s="62"/>
      <c r="D94" s="62"/>
      <c r="E94" s="60">
        <f t="shared" si="3"/>
        <v>5.1000000000000004E-4</v>
      </c>
      <c r="F94" s="37" t="s">
        <v>63</v>
      </c>
      <c r="G94" s="39" t="s">
        <v>59</v>
      </c>
    </row>
    <row r="96" spans="1:12" x14ac:dyDescent="0.25">
      <c r="A96" s="28" t="s">
        <v>252</v>
      </c>
      <c r="B96" s="29"/>
      <c r="C96" s="29"/>
      <c r="D96" s="29"/>
      <c r="E96" s="29"/>
      <c r="F96" s="29"/>
      <c r="G96" s="29"/>
    </row>
    <row r="97" spans="1:26" x14ac:dyDescent="0.25">
      <c r="A97" s="40"/>
    </row>
    <row r="98" spans="1:26" ht="15.75" thickBot="1" x14ac:dyDescent="0.3">
      <c r="A98" s="41" t="s">
        <v>253</v>
      </c>
    </row>
    <row r="99" spans="1:26" x14ac:dyDescent="0.25">
      <c r="A99" s="30"/>
      <c r="B99" s="31" t="s">
        <v>254</v>
      </c>
      <c r="C99" s="31"/>
      <c r="D99" s="31"/>
      <c r="E99" s="31"/>
      <c r="F99" s="31"/>
      <c r="G99" s="31"/>
      <c r="H99" s="31"/>
      <c r="I99" s="31"/>
      <c r="J99" s="31"/>
      <c r="K99" s="31"/>
      <c r="L99" s="31"/>
      <c r="M99" s="31"/>
      <c r="N99" s="31"/>
      <c r="O99" s="31"/>
      <c r="P99" s="31"/>
      <c r="Q99" s="31"/>
      <c r="R99" s="31"/>
      <c r="S99" s="31"/>
      <c r="T99" s="31"/>
      <c r="U99" s="31"/>
      <c r="V99" s="31"/>
      <c r="W99" s="31"/>
      <c r="X99" s="31"/>
      <c r="Y99" s="31"/>
      <c r="Z99" s="32"/>
    </row>
    <row r="100" spans="1:26" x14ac:dyDescent="0.25">
      <c r="A100" s="33" t="s">
        <v>12</v>
      </c>
      <c r="B100" t="s">
        <v>17</v>
      </c>
      <c r="C100" t="s">
        <v>19</v>
      </c>
      <c r="D100" t="s">
        <v>18</v>
      </c>
      <c r="E100" t="s">
        <v>20</v>
      </c>
      <c r="F100" t="s">
        <v>21</v>
      </c>
      <c r="G100" t="s">
        <v>22</v>
      </c>
      <c r="H100" t="s">
        <v>23</v>
      </c>
      <c r="I100" t="s">
        <v>24</v>
      </c>
      <c r="J100" t="s">
        <v>25</v>
      </c>
      <c r="K100" t="s">
        <v>26</v>
      </c>
      <c r="L100" t="s">
        <v>27</v>
      </c>
      <c r="M100" t="s">
        <v>28</v>
      </c>
      <c r="N100" t="s">
        <v>29</v>
      </c>
      <c r="O100" t="s">
        <v>30</v>
      </c>
      <c r="P100" t="s">
        <v>31</v>
      </c>
      <c r="Q100" t="s">
        <v>32</v>
      </c>
      <c r="R100" t="s">
        <v>33</v>
      </c>
      <c r="S100" t="s">
        <v>34</v>
      </c>
      <c r="T100" t="s">
        <v>35</v>
      </c>
      <c r="U100" t="s">
        <v>36</v>
      </c>
      <c r="V100" t="s">
        <v>37</v>
      </c>
      <c r="W100" t="s">
        <v>38</v>
      </c>
      <c r="X100" t="s">
        <v>39</v>
      </c>
      <c r="Y100" t="s">
        <v>40</v>
      </c>
      <c r="Z100" s="34" t="s">
        <v>13</v>
      </c>
    </row>
    <row r="101" spans="1:26" x14ac:dyDescent="0.25">
      <c r="A101" s="33" t="s">
        <v>198</v>
      </c>
      <c r="B101">
        <f>(B45/3.67)/0.5</f>
        <v>2.1384196185286104E-2</v>
      </c>
      <c r="C101">
        <f t="shared" ref="C101:Y101" si="4">(C45/3.67)/0.5</f>
        <v>2.3105722070844683E-2</v>
      </c>
      <c r="D101">
        <f t="shared" si="4"/>
        <v>1.5447825613079018E-2</v>
      </c>
      <c r="E101">
        <f t="shared" si="4"/>
        <v>5.4573514986376009E-3</v>
      </c>
      <c r="F101">
        <f t="shared" si="4"/>
        <v>0.76270299727520441</v>
      </c>
      <c r="G101">
        <f t="shared" si="4"/>
        <v>0.8241040871934604</v>
      </c>
      <c r="H101">
        <f t="shared" si="4"/>
        <v>0.55097244686648505</v>
      </c>
      <c r="I101">
        <f t="shared" si="4"/>
        <v>0.19464553678474114</v>
      </c>
      <c r="J101">
        <f t="shared" si="4"/>
        <v>2.0297166212534061</v>
      </c>
      <c r="K101">
        <f t="shared" si="4"/>
        <v>2.1931181198910084</v>
      </c>
      <c r="L101">
        <f t="shared" si="4"/>
        <v>1.4662561144414172</v>
      </c>
      <c r="M101">
        <f t="shared" si="4"/>
        <v>0.51799361307901914</v>
      </c>
      <c r="N101">
        <f t="shared" si="4"/>
        <v>4.5156294277929154</v>
      </c>
      <c r="O101">
        <f t="shared" si="4"/>
        <v>4.8791583106267025</v>
      </c>
      <c r="P101">
        <f t="shared" si="4"/>
        <v>3.2620658419618529</v>
      </c>
      <c r="Q101">
        <f t="shared" si="4"/>
        <v>1.1524107247956401</v>
      </c>
      <c r="R101">
        <f t="shared" si="4"/>
        <v>5.6454277929155321</v>
      </c>
      <c r="S101">
        <f t="shared" si="4"/>
        <v>6.0999106267029966</v>
      </c>
      <c r="T101">
        <f t="shared" si="4"/>
        <v>4.0782259618528611</v>
      </c>
      <c r="U101">
        <f t="shared" si="4"/>
        <v>1.4407407956403269</v>
      </c>
      <c r="V101">
        <f t="shared" si="4"/>
        <v>15.924098092643051</v>
      </c>
      <c r="W101">
        <f t="shared" si="4"/>
        <v>17.206061035422344</v>
      </c>
      <c r="X101">
        <f t="shared" si="4"/>
        <v>11.503480806539509</v>
      </c>
      <c r="Y101">
        <f t="shared" si="4"/>
        <v>4.0639077493188003</v>
      </c>
      <c r="Z101" s="34" t="s">
        <v>14</v>
      </c>
    </row>
    <row r="102" spans="1:26" x14ac:dyDescent="0.25">
      <c r="A102" s="33" t="s">
        <v>199</v>
      </c>
      <c r="B102">
        <f>(B46/3.67)/0.475</f>
        <v>9.9239925426645656E-3</v>
      </c>
      <c r="C102">
        <f t="shared" ref="C102:Y102" si="5">(C46/3.67)/0.475</f>
        <v>5.2710167790047339E-3</v>
      </c>
      <c r="D102">
        <f t="shared" si="5"/>
        <v>1.0429485157034277E-2</v>
      </c>
      <c r="E102">
        <f t="shared" si="5"/>
        <v>3.0575648931593291E-3</v>
      </c>
      <c r="F102">
        <f t="shared" si="5"/>
        <v>0.35527893302739144</v>
      </c>
      <c r="G102">
        <f t="shared" si="5"/>
        <v>0.18870240068836946</v>
      </c>
      <c r="H102">
        <f t="shared" si="5"/>
        <v>0.37337556862182714</v>
      </c>
      <c r="I102">
        <f t="shared" si="5"/>
        <v>0.10946082317510399</v>
      </c>
      <c r="J102">
        <f t="shared" si="5"/>
        <v>1.5243252545532771</v>
      </c>
      <c r="K102">
        <f t="shared" si="5"/>
        <v>0.80962817725512704</v>
      </c>
      <c r="L102">
        <f t="shared" si="5"/>
        <v>1.6019689201204648</v>
      </c>
      <c r="M102">
        <f t="shared" si="5"/>
        <v>0.46964196758927296</v>
      </c>
      <c r="N102">
        <f t="shared" si="5"/>
        <v>3.6937100243797509</v>
      </c>
      <c r="O102">
        <f t="shared" si="5"/>
        <v>1.9618724451455618</v>
      </c>
      <c r="P102">
        <f t="shared" si="5"/>
        <v>3.881854375448158</v>
      </c>
      <c r="Q102">
        <f t="shared" si="5"/>
        <v>1.1380256532339024</v>
      </c>
      <c r="R102">
        <f t="shared" si="5"/>
        <v>6.9666427649505254</v>
      </c>
      <c r="S102">
        <f t="shared" si="5"/>
        <v>3.7002537788613226</v>
      </c>
      <c r="T102">
        <f t="shared" si="5"/>
        <v>7.3214985802380621</v>
      </c>
      <c r="U102">
        <f t="shared" si="5"/>
        <v>2.1464105549978494</v>
      </c>
      <c r="V102">
        <f t="shared" si="5"/>
        <v>11.406637028538652</v>
      </c>
      <c r="W102">
        <f t="shared" si="5"/>
        <v>6.058506685788041</v>
      </c>
      <c r="X102">
        <f t="shared" si="5"/>
        <v>11.987650239495197</v>
      </c>
      <c r="Y102">
        <f t="shared" si="5"/>
        <v>3.5143650881973332</v>
      </c>
      <c r="Z102" s="34" t="s">
        <v>14</v>
      </c>
    </row>
    <row r="103" spans="1:26" x14ac:dyDescent="0.25">
      <c r="A103" s="33" t="s">
        <v>200</v>
      </c>
      <c r="B103">
        <f>(B47/3.67)/0.472</f>
        <v>2.5977924537015661E-3</v>
      </c>
      <c r="C103">
        <f t="shared" ref="C103:Y103" si="6">(C47/3.67)/0.472</f>
        <v>3.7402438461183215E-3</v>
      </c>
      <c r="D103">
        <f t="shared" si="6"/>
        <v>4.7692583013901075E-3</v>
      </c>
      <c r="E103">
        <f t="shared" si="6"/>
        <v>4.3844963746363097E-4</v>
      </c>
      <c r="F103">
        <f t="shared" si="6"/>
        <v>0.10521059437491342</v>
      </c>
      <c r="G103">
        <f t="shared" si="6"/>
        <v>0.15147987576779201</v>
      </c>
      <c r="H103">
        <f t="shared" si="6"/>
        <v>0.19315496120629935</v>
      </c>
      <c r="I103">
        <f t="shared" si="6"/>
        <v>1.7757210317277054E-2</v>
      </c>
      <c r="J103">
        <f t="shared" si="6"/>
        <v>0.4208423774996537</v>
      </c>
      <c r="K103">
        <f t="shared" si="6"/>
        <v>0.60591950307116804</v>
      </c>
      <c r="L103">
        <f t="shared" si="6"/>
        <v>0.77261984482519741</v>
      </c>
      <c r="M103">
        <f t="shared" si="6"/>
        <v>7.1028841269108217E-2</v>
      </c>
      <c r="N103">
        <f t="shared" si="6"/>
        <v>1.01184016071676</v>
      </c>
      <c r="O103">
        <f t="shared" si="6"/>
        <v>1.456824978063086</v>
      </c>
      <c r="P103">
        <f t="shared" si="6"/>
        <v>1.8576261083914469</v>
      </c>
      <c r="Q103">
        <f t="shared" si="6"/>
        <v>0.17077613379208428</v>
      </c>
      <c r="R103">
        <f t="shared" si="6"/>
        <v>1.931458689327114</v>
      </c>
      <c r="S103">
        <f t="shared" si="6"/>
        <v>2.7808712995889717</v>
      </c>
      <c r="T103">
        <f t="shared" si="6"/>
        <v>3.545943547083545</v>
      </c>
      <c r="U103">
        <f t="shared" si="6"/>
        <v>0.32598730545420962</v>
      </c>
      <c r="V103">
        <f t="shared" si="6"/>
        <v>3.2134692652288366</v>
      </c>
      <c r="W103">
        <f t="shared" si="6"/>
        <v>4.626681637648363</v>
      </c>
      <c r="X103">
        <f t="shared" si="6"/>
        <v>5.8995725188195625</v>
      </c>
      <c r="Y103">
        <f t="shared" si="6"/>
        <v>0.54236220154251147</v>
      </c>
      <c r="Z103" s="34" t="s">
        <v>14</v>
      </c>
    </row>
    <row r="104" spans="1:26" x14ac:dyDescent="0.25">
      <c r="A104" s="33" t="s">
        <v>201</v>
      </c>
      <c r="B104">
        <f>(B48/3.67)/0.5</f>
        <v>2.3166212534059948E-2</v>
      </c>
      <c r="C104">
        <f t="shared" ref="C104:Y106" si="7">(C48/3.67)/0.5</f>
        <v>2.5031198910081744E-2</v>
      </c>
      <c r="D104">
        <f t="shared" si="7"/>
        <v>1.6735144414168939E-2</v>
      </c>
      <c r="E104">
        <f t="shared" si="7"/>
        <v>5.9121307901907356E-3</v>
      </c>
      <c r="F104">
        <f t="shared" si="7"/>
        <v>0.81794550408719358</v>
      </c>
      <c r="G104">
        <f t="shared" si="7"/>
        <v>0.88379386920980918</v>
      </c>
      <c r="H104">
        <f t="shared" si="7"/>
        <v>0.59087932970027246</v>
      </c>
      <c r="I104">
        <f t="shared" si="7"/>
        <v>0.20874369482288824</v>
      </c>
      <c r="J104">
        <f t="shared" si="7"/>
        <v>3.7351062670299733</v>
      </c>
      <c r="K104">
        <f t="shared" si="7"/>
        <v>4.0357994550408716</v>
      </c>
      <c r="L104">
        <f t="shared" si="7"/>
        <v>2.6982202070844687</v>
      </c>
      <c r="M104">
        <f t="shared" si="7"/>
        <v>0.95321739509536785</v>
      </c>
      <c r="N104">
        <f t="shared" si="7"/>
        <v>9.2647029972752044</v>
      </c>
      <c r="O104">
        <f t="shared" si="7"/>
        <v>10.01055408719346</v>
      </c>
      <c r="P104">
        <f t="shared" si="7"/>
        <v>6.6927704468664855</v>
      </c>
      <c r="Q104">
        <f t="shared" si="7"/>
        <v>2.3643975367847414</v>
      </c>
      <c r="R104">
        <f t="shared" si="7"/>
        <v>17.584937329700274</v>
      </c>
      <c r="S104">
        <f t="shared" si="7"/>
        <v>19.00060544959128</v>
      </c>
      <c r="T104">
        <f t="shared" si="7"/>
        <v>12.703261929155314</v>
      </c>
      <c r="U104">
        <f t="shared" si="7"/>
        <v>4.4877620490463208</v>
      </c>
      <c r="V104">
        <f t="shared" si="7"/>
        <v>28.711847411444143</v>
      </c>
      <c r="W104">
        <f t="shared" si="7"/>
        <v>31.023282833787466</v>
      </c>
      <c r="X104">
        <f t="shared" si="7"/>
        <v>20.741280523160761</v>
      </c>
      <c r="Y104">
        <f t="shared" si="7"/>
        <v>7.3274039455040869</v>
      </c>
      <c r="Z104" s="34" t="s">
        <v>14</v>
      </c>
    </row>
    <row r="105" spans="1:26" x14ac:dyDescent="0.25">
      <c r="A105" s="33" t="s">
        <v>202</v>
      </c>
      <c r="B105">
        <f>(B49/3.67)/0.5</f>
        <v>2.8512261580381476E-2</v>
      </c>
      <c r="C105">
        <f t="shared" ref="C105:Q105" si="8">(C49/3.67)/0.5</f>
        <v>3.0807629427792915E-2</v>
      </c>
      <c r="D105">
        <f t="shared" si="8"/>
        <v>2.0597100817438697E-2</v>
      </c>
      <c r="E105">
        <f t="shared" si="8"/>
        <v>7.2764686648501362E-3</v>
      </c>
      <c r="F105">
        <f t="shared" si="8"/>
        <v>1.0086212534059946</v>
      </c>
      <c r="G105">
        <f t="shared" si="8"/>
        <v>1.0898198910081742</v>
      </c>
      <c r="H105">
        <f t="shared" si="8"/>
        <v>0.7286224414168937</v>
      </c>
      <c r="I105">
        <f t="shared" si="8"/>
        <v>0.25740507901907356</v>
      </c>
      <c r="J105">
        <f t="shared" si="8"/>
        <v>4.1111117166212532</v>
      </c>
      <c r="K105">
        <f t="shared" si="8"/>
        <v>4.4420750681198911</v>
      </c>
      <c r="L105">
        <f t="shared" si="8"/>
        <v>2.9698444741144416</v>
      </c>
      <c r="M105">
        <f t="shared" si="8"/>
        <v>1.049175825613079</v>
      </c>
      <c r="N105">
        <f t="shared" si="8"/>
        <v>9.4963651226158046</v>
      </c>
      <c r="O105">
        <f t="shared" si="8"/>
        <v>10.260866076294276</v>
      </c>
      <c r="P105">
        <f t="shared" si="8"/>
        <v>6.8601218910081743</v>
      </c>
      <c r="Q105">
        <f t="shared" si="8"/>
        <v>2.4235188446866482</v>
      </c>
      <c r="R105">
        <f t="shared" si="7"/>
        <v>17.239226158038147</v>
      </c>
      <c r="S105">
        <f t="shared" si="7"/>
        <v>18.62706294277929</v>
      </c>
      <c r="T105">
        <f t="shared" si="7"/>
        <v>12.453522081743868</v>
      </c>
      <c r="U105">
        <f t="shared" si="7"/>
        <v>4.3995348664850127</v>
      </c>
      <c r="V105">
        <f t="shared" si="7"/>
        <v>27.373553133514989</v>
      </c>
      <c r="W105">
        <f t="shared" si="7"/>
        <v>29.577249727520439</v>
      </c>
      <c r="X105">
        <f t="shared" si="7"/>
        <v>19.774504103542235</v>
      </c>
      <c r="Y105">
        <f t="shared" si="7"/>
        <v>6.9858646975476848</v>
      </c>
      <c r="Z105" s="34" t="s">
        <v>14</v>
      </c>
    </row>
    <row r="106" spans="1:26" x14ac:dyDescent="0.25">
      <c r="A106" s="33" t="s">
        <v>203</v>
      </c>
      <c r="B106">
        <f>(B50/3.67)/0.5</f>
        <v>1.9602179836512263E-2</v>
      </c>
      <c r="C106">
        <f t="shared" si="7"/>
        <v>2.1180245231607629E-2</v>
      </c>
      <c r="D106">
        <f t="shared" si="7"/>
        <v>1.4160506811989102E-2</v>
      </c>
      <c r="E106">
        <f t="shared" si="7"/>
        <v>5.0025722070844688E-3</v>
      </c>
      <c r="F106">
        <f t="shared" si="7"/>
        <v>0.69142234332425079</v>
      </c>
      <c r="G106">
        <f t="shared" si="7"/>
        <v>0.74708501362397817</v>
      </c>
      <c r="H106">
        <f t="shared" si="7"/>
        <v>0.49947969482288823</v>
      </c>
      <c r="I106">
        <f t="shared" si="7"/>
        <v>0.17645436512261578</v>
      </c>
      <c r="J106">
        <f t="shared" si="7"/>
        <v>3.2610899182561313</v>
      </c>
      <c r="K106">
        <f t="shared" si="7"/>
        <v>3.5236226158038146</v>
      </c>
      <c r="L106">
        <f t="shared" si="7"/>
        <v>2.3557934059945507</v>
      </c>
      <c r="M106">
        <f t="shared" si="7"/>
        <v>0.83224610354223438</v>
      </c>
      <c r="N106">
        <f t="shared" si="7"/>
        <v>7.6466321525885563</v>
      </c>
      <c r="O106">
        <f t="shared" si="7"/>
        <v>8.2622211171662112</v>
      </c>
      <c r="P106">
        <f t="shared" si="7"/>
        <v>5.5238849754768387</v>
      </c>
      <c r="Q106">
        <f t="shared" si="7"/>
        <v>1.9514579400544954</v>
      </c>
      <c r="R106">
        <f t="shared" si="7"/>
        <v>19.963929155313355</v>
      </c>
      <c r="S106">
        <f t="shared" si="7"/>
        <v>21.571117029972751</v>
      </c>
      <c r="T106">
        <f t="shared" si="7"/>
        <v>14.421832528610354</v>
      </c>
      <c r="U106">
        <f t="shared" si="7"/>
        <v>5.0948924032697542</v>
      </c>
      <c r="V106">
        <f t="shared" si="7"/>
        <v>36.561629427792909</v>
      </c>
      <c r="W106">
        <f t="shared" si="7"/>
        <v>39.5050083106267</v>
      </c>
      <c r="X106">
        <f t="shared" si="7"/>
        <v>26.411919841961851</v>
      </c>
      <c r="Y106">
        <f t="shared" si="7"/>
        <v>9.3307067247956379</v>
      </c>
      <c r="Z106" s="34" t="s">
        <v>14</v>
      </c>
    </row>
    <row r="107" spans="1:26" x14ac:dyDescent="0.25">
      <c r="A107" s="33" t="s">
        <v>204</v>
      </c>
      <c r="B107">
        <f>(B51/3.67)/0.478</f>
        <v>1.6839009040849139E-2</v>
      </c>
      <c r="C107">
        <f t="shared" ref="C107:Y107" si="9">(C51/3.67)/0.478</f>
        <v>9.7329472256108013E-3</v>
      </c>
      <c r="D107">
        <f t="shared" si="9"/>
        <v>9.3639255298530455E-3</v>
      </c>
      <c r="E107">
        <f t="shared" si="9"/>
        <v>3.9669832293958707E-3</v>
      </c>
      <c r="F107">
        <f t="shared" si="9"/>
        <v>0.6326656253919033</v>
      </c>
      <c r="G107">
        <f t="shared" si="9"/>
        <v>0.36568073147652003</v>
      </c>
      <c r="H107">
        <f t="shared" si="9"/>
        <v>0.35181605919305003</v>
      </c>
      <c r="I107">
        <f t="shared" si="9"/>
        <v>0.14904522704730194</v>
      </c>
      <c r="J107">
        <f t="shared" si="9"/>
        <v>4.168857523970221</v>
      </c>
      <c r="K107">
        <f t="shared" si="9"/>
        <v>2.4095996488547877</v>
      </c>
      <c r="L107">
        <f t="shared" si="9"/>
        <v>2.3182404204621894</v>
      </c>
      <c r="M107">
        <f t="shared" si="9"/>
        <v>0.98211170522043467</v>
      </c>
      <c r="N107">
        <f t="shared" si="9"/>
        <v>12.011024591565675</v>
      </c>
      <c r="O107">
        <f t="shared" si="9"/>
        <v>6.9423722139249602</v>
      </c>
      <c r="P107">
        <f t="shared" si="9"/>
        <v>6.6791543100794639</v>
      </c>
      <c r="Q107">
        <f t="shared" si="9"/>
        <v>2.8295924663390832</v>
      </c>
      <c r="R107">
        <f t="shared" si="9"/>
        <v>24.257795309703241</v>
      </c>
      <c r="S107">
        <f t="shared" si="9"/>
        <v>14.021005689008472</v>
      </c>
      <c r="T107">
        <f t="shared" si="9"/>
        <v>13.489403577576871</v>
      </c>
      <c r="U107">
        <f t="shared" si="9"/>
        <v>5.7147226978897088</v>
      </c>
      <c r="V107">
        <f t="shared" si="9"/>
        <v>41.351795058885237</v>
      </c>
      <c r="W107">
        <f t="shared" si="9"/>
        <v>23.901337544035666</v>
      </c>
      <c r="X107">
        <f t="shared" si="9"/>
        <v>22.995125694024832</v>
      </c>
      <c r="Y107">
        <f t="shared" si="9"/>
        <v>9.7417773876164286</v>
      </c>
      <c r="Z107" s="34" t="s">
        <v>14</v>
      </c>
    </row>
    <row r="108" spans="1:26" x14ac:dyDescent="0.25">
      <c r="A108" s="33" t="s">
        <v>205</v>
      </c>
      <c r="B108">
        <f>(B52/3.67)/0.5</f>
        <v>4.2550408719346046E-2</v>
      </c>
      <c r="C108">
        <f t="shared" ref="C108:Y108" si="10">(C52/3.67)/0.5</f>
        <v>1.5401852861035422E-2</v>
      </c>
      <c r="D108">
        <f t="shared" si="10"/>
        <v>1.7857220708446871E-2</v>
      </c>
      <c r="E108">
        <f t="shared" si="10"/>
        <v>1.1383978201634878E-2</v>
      </c>
      <c r="F108">
        <f t="shared" si="10"/>
        <v>1.5291553133514988</v>
      </c>
      <c r="G108">
        <f t="shared" si="10"/>
        <v>0.55350408719346045</v>
      </c>
      <c r="H108">
        <f t="shared" si="10"/>
        <v>0.6417438692098093</v>
      </c>
      <c r="I108">
        <f t="shared" si="10"/>
        <v>0.40911171662125345</v>
      </c>
      <c r="J108">
        <f t="shared" si="10"/>
        <v>6.8133841961852868</v>
      </c>
      <c r="K108">
        <f t="shared" si="10"/>
        <v>2.4662216893732971</v>
      </c>
      <c r="L108">
        <f t="shared" si="10"/>
        <v>2.8593874659400544</v>
      </c>
      <c r="M108">
        <f t="shared" si="10"/>
        <v>1.8228595095367848</v>
      </c>
      <c r="N108">
        <f t="shared" si="10"/>
        <v>16.477645776566757</v>
      </c>
      <c r="O108">
        <f t="shared" si="10"/>
        <v>5.9643675204359665</v>
      </c>
      <c r="P108">
        <f t="shared" si="10"/>
        <v>6.9152087193460492</v>
      </c>
      <c r="Q108">
        <f t="shared" si="10"/>
        <v>4.4084455585831064</v>
      </c>
      <c r="R108">
        <f t="shared" si="10"/>
        <v>20.597057220708447</v>
      </c>
      <c r="S108">
        <f t="shared" si="10"/>
        <v>7.4554594005449593</v>
      </c>
      <c r="T108">
        <f t="shared" si="10"/>
        <v>8.6440108991825628</v>
      </c>
      <c r="U108">
        <f t="shared" si="10"/>
        <v>5.5105569482288832</v>
      </c>
      <c r="V108">
        <f t="shared" si="10"/>
        <v>24.716468664850137</v>
      </c>
      <c r="W108">
        <f t="shared" si="10"/>
        <v>8.9465512806539511</v>
      </c>
      <c r="X108">
        <f t="shared" si="10"/>
        <v>10.372813079019075</v>
      </c>
      <c r="Y108">
        <f t="shared" si="10"/>
        <v>6.61266833787466</v>
      </c>
      <c r="Z108" s="34" t="s">
        <v>14</v>
      </c>
    </row>
    <row r="109" spans="1:26" x14ac:dyDescent="0.25">
      <c r="A109" s="33" t="s">
        <v>206</v>
      </c>
      <c r="B109">
        <f>(B53/3.67)/0.5</f>
        <v>1.9602179836512263E-2</v>
      </c>
      <c r="C109">
        <f t="shared" ref="C109:Y109" si="11">(C53/3.67)/0.5</f>
        <v>2.1180245231607629E-2</v>
      </c>
      <c r="D109">
        <f t="shared" si="11"/>
        <v>1.4160506811989102E-2</v>
      </c>
      <c r="E109">
        <f t="shared" si="11"/>
        <v>5.0025722070844688E-3</v>
      </c>
      <c r="F109">
        <f t="shared" si="11"/>
        <v>0.69142234332425079</v>
      </c>
      <c r="G109">
        <f t="shared" si="11"/>
        <v>0.74708501362397817</v>
      </c>
      <c r="H109">
        <f t="shared" si="11"/>
        <v>0.49947969482288823</v>
      </c>
      <c r="I109">
        <f t="shared" si="11"/>
        <v>0.17645436512261578</v>
      </c>
      <c r="J109">
        <f t="shared" si="11"/>
        <v>3.2610899182561313</v>
      </c>
      <c r="K109">
        <f t="shared" si="11"/>
        <v>3.5236226158038146</v>
      </c>
      <c r="L109">
        <f t="shared" si="11"/>
        <v>2.3557934059945507</v>
      </c>
      <c r="M109">
        <f t="shared" si="11"/>
        <v>0.83224610354223438</v>
      </c>
      <c r="N109">
        <f t="shared" si="11"/>
        <v>7.6466321525885563</v>
      </c>
      <c r="O109">
        <f t="shared" si="11"/>
        <v>8.2622211171662112</v>
      </c>
      <c r="P109">
        <f t="shared" si="11"/>
        <v>5.5238849754768387</v>
      </c>
      <c r="Q109">
        <f t="shared" si="11"/>
        <v>1.9514579400544954</v>
      </c>
      <c r="R109">
        <f t="shared" si="11"/>
        <v>19.963929155313355</v>
      </c>
      <c r="S109">
        <f t="shared" si="11"/>
        <v>21.571117029972751</v>
      </c>
      <c r="T109">
        <f t="shared" si="11"/>
        <v>14.421832528610354</v>
      </c>
      <c r="U109">
        <f t="shared" si="11"/>
        <v>5.0948924032697542</v>
      </c>
      <c r="V109">
        <f t="shared" si="11"/>
        <v>36.561629427792909</v>
      </c>
      <c r="W109">
        <f t="shared" si="11"/>
        <v>39.5050083106267</v>
      </c>
      <c r="X109">
        <f t="shared" si="11"/>
        <v>26.411919841961851</v>
      </c>
      <c r="Y109">
        <f t="shared" si="11"/>
        <v>9.3307067247956379</v>
      </c>
      <c r="Z109" s="34" t="s">
        <v>14</v>
      </c>
    </row>
    <row r="110" spans="1:26" x14ac:dyDescent="0.25">
      <c r="A110" s="33" t="s">
        <v>207</v>
      </c>
      <c r="B110">
        <f>(B54/3.67)/0.5</f>
        <v>3.5836512261580376E-2</v>
      </c>
      <c r="C110">
        <f t="shared" ref="C110:Y113" si="12">(C54/3.67)/0.5</f>
        <v>5.6307531335149853E-2</v>
      </c>
      <c r="D110">
        <f t="shared" si="12"/>
        <v>1.8515967302452314E-2</v>
      </c>
      <c r="E110">
        <f t="shared" si="12"/>
        <v>2.0130179836512257E-2</v>
      </c>
      <c r="F110">
        <f t="shared" si="12"/>
        <v>1.2647302452316076</v>
      </c>
      <c r="G110">
        <f t="shared" si="12"/>
        <v>1.9871866267029974</v>
      </c>
      <c r="H110">
        <f t="shared" si="12"/>
        <v>0.65345934604904643</v>
      </c>
      <c r="I110">
        <f t="shared" si="12"/>
        <v>0.71042759673024525</v>
      </c>
      <c r="J110">
        <f t="shared" si="12"/>
        <v>1.8246757493188011</v>
      </c>
      <c r="K110">
        <f t="shared" si="12"/>
        <v>2.8669918038147135</v>
      </c>
      <c r="L110">
        <f t="shared" si="12"/>
        <v>0.94277133514986389</v>
      </c>
      <c r="M110">
        <f t="shared" si="12"/>
        <v>1.0249616566757491</v>
      </c>
      <c r="N110">
        <f t="shared" si="12"/>
        <v>2.5354332425068113</v>
      </c>
      <c r="O110">
        <f t="shared" si="12"/>
        <v>3.9837578419618525</v>
      </c>
      <c r="P110">
        <f t="shared" si="12"/>
        <v>1.3100046866485013</v>
      </c>
      <c r="Q110">
        <f t="shared" si="12"/>
        <v>1.4242102234332423</v>
      </c>
      <c r="R110">
        <f t="shared" si="12"/>
        <v>3.4179073569482288</v>
      </c>
      <c r="S110">
        <f t="shared" si="12"/>
        <v>5.370330801089918</v>
      </c>
      <c r="T110">
        <f t="shared" si="12"/>
        <v>1.7659603814713898</v>
      </c>
      <c r="U110">
        <f t="shared" si="12"/>
        <v>1.9199159019073571</v>
      </c>
      <c r="V110">
        <f t="shared" si="12"/>
        <v>4.4930027247956401</v>
      </c>
      <c r="W110">
        <f t="shared" si="12"/>
        <v>7.059556741144414</v>
      </c>
      <c r="X110">
        <f t="shared" si="12"/>
        <v>2.3214394005449597</v>
      </c>
      <c r="Y110">
        <f t="shared" si="12"/>
        <v>2.523821297002725</v>
      </c>
      <c r="Z110" s="34" t="s">
        <v>15</v>
      </c>
    </row>
    <row r="111" spans="1:26" x14ac:dyDescent="0.25">
      <c r="A111" s="33" t="s">
        <v>208</v>
      </c>
      <c r="B111">
        <f t="shared" ref="B111:Q113" si="13">(B55/3.67)/0.5</f>
        <v>1.9602179836512263E-2</v>
      </c>
      <c r="C111">
        <f t="shared" si="13"/>
        <v>2.1180245231607629E-2</v>
      </c>
      <c r="D111">
        <f t="shared" si="13"/>
        <v>1.4160506811989102E-2</v>
      </c>
      <c r="E111">
        <f t="shared" si="13"/>
        <v>5.0025722070844688E-3</v>
      </c>
      <c r="F111">
        <f t="shared" si="13"/>
        <v>0.69142234332425079</v>
      </c>
      <c r="G111">
        <f t="shared" si="13"/>
        <v>0.74708501362397817</v>
      </c>
      <c r="H111">
        <f t="shared" si="13"/>
        <v>0.49947969482288823</v>
      </c>
      <c r="I111">
        <f t="shared" si="13"/>
        <v>0.17645436512261578</v>
      </c>
      <c r="J111">
        <f t="shared" si="13"/>
        <v>3.2610899182561313</v>
      </c>
      <c r="K111">
        <f t="shared" si="13"/>
        <v>3.5236226158038146</v>
      </c>
      <c r="L111">
        <f t="shared" si="13"/>
        <v>2.3557934059945507</v>
      </c>
      <c r="M111">
        <f t="shared" si="13"/>
        <v>0.83224610354223438</v>
      </c>
      <c r="N111">
        <f t="shared" si="13"/>
        <v>7.6466321525885563</v>
      </c>
      <c r="O111">
        <f t="shared" si="13"/>
        <v>8.2622211171662112</v>
      </c>
      <c r="P111">
        <f t="shared" si="13"/>
        <v>5.5238849754768387</v>
      </c>
      <c r="Q111">
        <f t="shared" si="13"/>
        <v>1.9514579400544954</v>
      </c>
      <c r="R111">
        <f t="shared" si="12"/>
        <v>19.963929155313355</v>
      </c>
      <c r="S111">
        <f t="shared" si="12"/>
        <v>21.571117029972751</v>
      </c>
      <c r="T111">
        <f t="shared" si="12"/>
        <v>14.421832528610354</v>
      </c>
      <c r="U111">
        <f t="shared" si="12"/>
        <v>5.0948924032697542</v>
      </c>
      <c r="V111">
        <f t="shared" si="12"/>
        <v>36.561629427792909</v>
      </c>
      <c r="W111">
        <f t="shared" si="12"/>
        <v>39.5050083106267</v>
      </c>
      <c r="X111">
        <f t="shared" si="12"/>
        <v>26.411919841961851</v>
      </c>
      <c r="Y111">
        <f t="shared" si="12"/>
        <v>9.3307067247956379</v>
      </c>
      <c r="Z111" s="34" t="s">
        <v>14</v>
      </c>
    </row>
    <row r="112" spans="1:26" x14ac:dyDescent="0.25">
      <c r="A112" s="33" t="s">
        <v>209</v>
      </c>
      <c r="B112">
        <f t="shared" si="13"/>
        <v>1.9602179836512263E-2</v>
      </c>
      <c r="C112">
        <f t="shared" si="12"/>
        <v>2.1180245231607629E-2</v>
      </c>
      <c r="D112">
        <f t="shared" si="12"/>
        <v>1.4160506811989102E-2</v>
      </c>
      <c r="E112">
        <f t="shared" si="12"/>
        <v>5.0025722070844688E-3</v>
      </c>
      <c r="F112">
        <f t="shared" si="12"/>
        <v>0.69142234332425079</v>
      </c>
      <c r="G112">
        <f t="shared" si="12"/>
        <v>0.74708501362397817</v>
      </c>
      <c r="H112">
        <f t="shared" si="12"/>
        <v>0.49947969482288823</v>
      </c>
      <c r="I112">
        <f t="shared" si="12"/>
        <v>0.17645436512261578</v>
      </c>
      <c r="J112">
        <f t="shared" si="12"/>
        <v>3.2610899182561313</v>
      </c>
      <c r="K112">
        <f t="shared" si="12"/>
        <v>3.5236226158038146</v>
      </c>
      <c r="L112">
        <f t="shared" si="12"/>
        <v>2.3557934059945507</v>
      </c>
      <c r="M112">
        <f t="shared" si="12"/>
        <v>0.83224610354223438</v>
      </c>
      <c r="N112">
        <f t="shared" si="12"/>
        <v>7.6466321525885563</v>
      </c>
      <c r="O112">
        <f t="shared" si="12"/>
        <v>8.2622211171662112</v>
      </c>
      <c r="P112">
        <f t="shared" si="12"/>
        <v>5.5238849754768387</v>
      </c>
      <c r="Q112">
        <f t="shared" si="12"/>
        <v>1.9514579400544954</v>
      </c>
      <c r="R112">
        <f t="shared" si="12"/>
        <v>19.963929155313355</v>
      </c>
      <c r="S112">
        <f t="shared" si="12"/>
        <v>21.571117029972751</v>
      </c>
      <c r="T112">
        <f t="shared" si="12"/>
        <v>14.421832528610354</v>
      </c>
      <c r="U112">
        <f t="shared" si="12"/>
        <v>5.0948924032697542</v>
      </c>
      <c r="V112">
        <f t="shared" si="12"/>
        <v>36.561629427792909</v>
      </c>
      <c r="W112">
        <f t="shared" si="12"/>
        <v>39.5050083106267</v>
      </c>
      <c r="X112">
        <f t="shared" si="12"/>
        <v>26.411919841961851</v>
      </c>
      <c r="Y112">
        <f t="shared" si="12"/>
        <v>9.3307067247956379</v>
      </c>
      <c r="Z112" s="34" t="s">
        <v>14</v>
      </c>
    </row>
    <row r="113" spans="1:26" x14ac:dyDescent="0.25">
      <c r="A113" s="33" t="s">
        <v>210</v>
      </c>
      <c r="B113">
        <f t="shared" si="13"/>
        <v>1.9602179836512263E-2</v>
      </c>
      <c r="C113">
        <f t="shared" si="12"/>
        <v>2.1180245231607629E-2</v>
      </c>
      <c r="D113">
        <f t="shared" si="12"/>
        <v>1.4160506811989102E-2</v>
      </c>
      <c r="E113">
        <f t="shared" si="12"/>
        <v>5.0025722070844688E-3</v>
      </c>
      <c r="F113">
        <f t="shared" si="12"/>
        <v>0.69142234332425079</v>
      </c>
      <c r="G113">
        <f t="shared" si="12"/>
        <v>0.74708501362397817</v>
      </c>
      <c r="H113">
        <f t="shared" si="12"/>
        <v>0.49947969482288823</v>
      </c>
      <c r="I113">
        <f t="shared" si="12"/>
        <v>0.17645436512261578</v>
      </c>
      <c r="J113">
        <f t="shared" si="12"/>
        <v>3.2610899182561313</v>
      </c>
      <c r="K113">
        <f t="shared" si="12"/>
        <v>3.5236226158038146</v>
      </c>
      <c r="L113">
        <f t="shared" si="12"/>
        <v>2.3557934059945507</v>
      </c>
      <c r="M113">
        <f t="shared" si="12"/>
        <v>0.83224610354223438</v>
      </c>
      <c r="N113">
        <f t="shared" si="12"/>
        <v>7.6466321525885563</v>
      </c>
      <c r="O113">
        <f t="shared" si="12"/>
        <v>8.2622211171662112</v>
      </c>
      <c r="P113">
        <f t="shared" si="12"/>
        <v>5.5238849754768387</v>
      </c>
      <c r="Q113">
        <f t="shared" si="12"/>
        <v>1.9514579400544954</v>
      </c>
      <c r="R113">
        <f t="shared" si="12"/>
        <v>19.963929155313355</v>
      </c>
      <c r="S113">
        <f t="shared" si="12"/>
        <v>21.571117029972751</v>
      </c>
      <c r="T113">
        <f t="shared" si="12"/>
        <v>14.421832528610354</v>
      </c>
      <c r="U113">
        <f t="shared" si="12"/>
        <v>5.0948924032697542</v>
      </c>
      <c r="V113">
        <f t="shared" si="12"/>
        <v>36.561629427792909</v>
      </c>
      <c r="W113">
        <f t="shared" si="12"/>
        <v>39.5050083106267</v>
      </c>
      <c r="X113">
        <f t="shared" si="12"/>
        <v>26.411919841961851</v>
      </c>
      <c r="Y113">
        <f t="shared" si="12"/>
        <v>9.3307067247956379</v>
      </c>
      <c r="Z113" s="34" t="s">
        <v>14</v>
      </c>
    </row>
    <row r="114" spans="1:26" x14ac:dyDescent="0.25">
      <c r="A114" s="33" t="s">
        <v>211</v>
      </c>
      <c r="B114">
        <f>(B58/3.67)/0.473</f>
        <v>1.9897344908434193E-2</v>
      </c>
      <c r="C114">
        <f t="shared" ref="C114:Y114" si="14">(C58/3.67)/0.473</f>
        <v>1.2432418731385847E-2</v>
      </c>
      <c r="D114">
        <f t="shared" si="14"/>
        <v>2.4299727520435965E-2</v>
      </c>
      <c r="E114">
        <f t="shared" si="14"/>
        <v>6.7378493124643562E-3</v>
      </c>
      <c r="F114">
        <f t="shared" si="14"/>
        <v>0.70183362040658792</v>
      </c>
      <c r="G114">
        <f t="shared" si="14"/>
        <v>0.43852531525251887</v>
      </c>
      <c r="H114">
        <f t="shared" si="14"/>
        <v>0.85711766162992309</v>
      </c>
      <c r="I114">
        <f t="shared" si="14"/>
        <v>0.23766232120328817</v>
      </c>
      <c r="J114">
        <f t="shared" si="14"/>
        <v>3.3029592548000761</v>
      </c>
      <c r="K114">
        <f t="shared" si="14"/>
        <v>2.0637815094100502</v>
      </c>
      <c r="L114">
        <f t="shared" si="14"/>
        <v>4.0337547683923702</v>
      </c>
      <c r="M114">
        <f t="shared" si="14"/>
        <v>1.1184829858690832</v>
      </c>
      <c r="N114">
        <f t="shared" si="14"/>
        <v>7.0545131948084876</v>
      </c>
      <c r="O114">
        <f t="shared" si="14"/>
        <v>4.4078575502186181</v>
      </c>
      <c r="P114">
        <f t="shared" si="14"/>
        <v>8.6153579390636601</v>
      </c>
      <c r="Q114">
        <f t="shared" si="14"/>
        <v>2.3888738471464532</v>
      </c>
      <c r="R114">
        <f t="shared" si="14"/>
        <v>8.8163326439734782</v>
      </c>
      <c r="S114">
        <f t="shared" si="14"/>
        <v>5.5086917178886017</v>
      </c>
      <c r="T114">
        <f t="shared" si="14"/>
        <v>10.766988357691355</v>
      </c>
      <c r="U114">
        <f t="shared" si="14"/>
        <v>2.9854797771773884</v>
      </c>
      <c r="V114">
        <f t="shared" si="14"/>
        <v>15.208806908192244</v>
      </c>
      <c r="W114">
        <f t="shared" si="14"/>
        <v>9.5028887903174688</v>
      </c>
      <c r="X114">
        <f t="shared" si="14"/>
        <v>18.573828090165964</v>
      </c>
      <c r="Y114">
        <f t="shared" si="14"/>
        <v>5.1501670017454817</v>
      </c>
      <c r="Z114" s="34" t="s">
        <v>14</v>
      </c>
    </row>
    <row r="115" spans="1:26" x14ac:dyDescent="0.25">
      <c r="A115" s="33" t="s">
        <v>212</v>
      </c>
      <c r="B115">
        <f>(B59/3.67)/0.5</f>
        <v>2.6730245231607632E-2</v>
      </c>
      <c r="C115">
        <f t="shared" ref="C115:Y115" si="15">(C59/3.67)/0.5</f>
        <v>2.8882152588555858E-2</v>
      </c>
      <c r="D115">
        <f t="shared" si="15"/>
        <v>1.9309782016348774E-2</v>
      </c>
      <c r="E115">
        <f t="shared" si="15"/>
        <v>6.8216893732970015E-3</v>
      </c>
      <c r="F115">
        <f t="shared" si="15"/>
        <v>0.94268664850136241</v>
      </c>
      <c r="G115">
        <f t="shared" si="15"/>
        <v>1.0185772479564033</v>
      </c>
      <c r="H115">
        <f t="shared" si="15"/>
        <v>0.68099164577656679</v>
      </c>
      <c r="I115">
        <f t="shared" si="15"/>
        <v>0.24057824523160762</v>
      </c>
      <c r="J115">
        <f t="shared" si="15"/>
        <v>5.2801144414168935</v>
      </c>
      <c r="K115">
        <f t="shared" si="15"/>
        <v>5.7051878746593996</v>
      </c>
      <c r="L115">
        <f t="shared" si="15"/>
        <v>3.8143256076294274</v>
      </c>
      <c r="M115">
        <f t="shared" si="15"/>
        <v>1.3475110408719344</v>
      </c>
      <c r="N115">
        <f t="shared" si="15"/>
        <v>13.77142234332425</v>
      </c>
      <c r="O115">
        <f t="shared" si="15"/>
        <v>14.88008501362398</v>
      </c>
      <c r="P115">
        <f t="shared" si="15"/>
        <v>9.9483996948228892</v>
      </c>
      <c r="Q115">
        <f t="shared" si="15"/>
        <v>3.514534365122616</v>
      </c>
      <c r="R115">
        <f t="shared" si="15"/>
        <v>26.657182561307906</v>
      </c>
      <c r="S115">
        <f t="shared" si="15"/>
        <v>28.803208038147137</v>
      </c>
      <c r="T115">
        <f t="shared" si="15"/>
        <v>19.257001945504086</v>
      </c>
      <c r="U115">
        <f t="shared" si="15"/>
        <v>6.8030434223433236</v>
      </c>
      <c r="V115">
        <f t="shared" si="15"/>
        <v>43.958779291553135</v>
      </c>
      <c r="W115">
        <f t="shared" si="15"/>
        <v>47.497662670299725</v>
      </c>
      <c r="X115">
        <f t="shared" si="15"/>
        <v>31.755580185286107</v>
      </c>
      <c r="Y115">
        <f t="shared" si="15"/>
        <v>11.218495564032697</v>
      </c>
      <c r="Z115" s="34" t="s">
        <v>14</v>
      </c>
    </row>
    <row r="116" spans="1:26" x14ac:dyDescent="0.25">
      <c r="A116" s="208" t="s">
        <v>213</v>
      </c>
      <c r="B116">
        <f>(B60/3.67)/0.499</f>
        <v>6.4434045202120876E-3</v>
      </c>
      <c r="C116">
        <f t="shared" ref="C116:Y116" si="16">(C60/3.67)/0.499</f>
        <v>1.0095831990957394E-2</v>
      </c>
      <c r="D116">
        <f t="shared" si="16"/>
        <v>4.9644793674542553E-3</v>
      </c>
      <c r="E116">
        <f t="shared" si="16"/>
        <v>5.7988456476986677E-3</v>
      </c>
      <c r="F116">
        <f t="shared" si="16"/>
        <v>0.24613805267210168</v>
      </c>
      <c r="G116">
        <f t="shared" si="16"/>
        <v>0.38566078205457233</v>
      </c>
      <c r="H116">
        <f t="shared" si="16"/>
        <v>0.18964311183675253</v>
      </c>
      <c r="I116">
        <f t="shared" si="16"/>
        <v>0.22151590374208907</v>
      </c>
      <c r="J116">
        <f t="shared" si="16"/>
        <v>0.96522199712777068</v>
      </c>
      <c r="K116">
        <f t="shared" si="16"/>
        <v>1.5123556322454172</v>
      </c>
      <c r="L116">
        <f t="shared" si="16"/>
        <v>0.74367900924464736</v>
      </c>
      <c r="M116">
        <f t="shared" si="16"/>
        <v>0.86866707802526044</v>
      </c>
      <c r="N116">
        <f t="shared" si="16"/>
        <v>2.261634986594443</v>
      </c>
      <c r="O116">
        <f t="shared" si="16"/>
        <v>3.5436370288260441</v>
      </c>
      <c r="P116">
        <f t="shared" si="16"/>
        <v>1.7425322579764437</v>
      </c>
      <c r="Q116">
        <f t="shared" si="16"/>
        <v>2.0353948223422322</v>
      </c>
      <c r="R116">
        <f t="shared" si="16"/>
        <v>4.1985223853701958</v>
      </c>
      <c r="S116">
        <f t="shared" si="16"/>
        <v>6.5784441253078363</v>
      </c>
      <c r="T116">
        <f t="shared" si="16"/>
        <v>3.2348547558331928</v>
      </c>
      <c r="U116">
        <f t="shared" si="16"/>
        <v>3.7785278240404523</v>
      </c>
      <c r="V116">
        <f t="shared" si="16"/>
        <v>6.8158333014803461</v>
      </c>
      <c r="W116">
        <f t="shared" si="16"/>
        <v>10.679371080034731</v>
      </c>
      <c r="X116">
        <f t="shared" si="16"/>
        <v>5.2514262748931113</v>
      </c>
      <c r="Y116">
        <f t="shared" si="16"/>
        <v>6.134018926135651</v>
      </c>
      <c r="Z116" s="34" t="s">
        <v>15</v>
      </c>
    </row>
    <row r="117" spans="1:26" x14ac:dyDescent="0.25">
      <c r="A117" s="33" t="s">
        <v>215</v>
      </c>
      <c r="B117">
        <f>(B61/3.67)/0.511</f>
        <v>4.242362840399494E-2</v>
      </c>
      <c r="C117">
        <f t="shared" ref="C117:Y117" si="17">(C61/3.67)/0.511</f>
        <v>0.11888310040152079</v>
      </c>
      <c r="D117">
        <f t="shared" si="17"/>
        <v>9.7200019196211958E-3</v>
      </c>
      <c r="E117">
        <f t="shared" si="17"/>
        <v>2.0935388749953349E-2</v>
      </c>
      <c r="F117">
        <f t="shared" si="17"/>
        <v>1.5213584519321521</v>
      </c>
      <c r="G117">
        <f t="shared" si="17"/>
        <v>4.2632800727323152</v>
      </c>
      <c r="H117">
        <f t="shared" si="17"/>
        <v>0.348570068839749</v>
      </c>
      <c r="I117">
        <f t="shared" si="17"/>
        <v>0.75076630211638262</v>
      </c>
      <c r="J117">
        <f t="shared" si="17"/>
        <v>3.8782266965985377</v>
      </c>
      <c r="K117">
        <f t="shared" si="17"/>
        <v>10.867896761705689</v>
      </c>
      <c r="L117">
        <f t="shared" si="17"/>
        <v>0.88857017548537076</v>
      </c>
      <c r="M117">
        <f t="shared" si="17"/>
        <v>1.9138434548915682</v>
      </c>
      <c r="N117">
        <f t="shared" si="17"/>
        <v>7.5584764606450987</v>
      </c>
      <c r="O117">
        <f t="shared" si="17"/>
        <v>21.181005721537616</v>
      </c>
      <c r="P117">
        <f t="shared" si="17"/>
        <v>1.7317803420125097</v>
      </c>
      <c r="Q117">
        <f t="shared" si="17"/>
        <v>3.7299884289500209</v>
      </c>
      <c r="R117">
        <f t="shared" si="17"/>
        <v>12.664631512714823</v>
      </c>
      <c r="S117">
        <f t="shared" si="17"/>
        <v>35.489907778198443</v>
      </c>
      <c r="T117">
        <f t="shared" si="17"/>
        <v>2.9016905730602498</v>
      </c>
      <c r="U117">
        <f t="shared" si="17"/>
        <v>6.2497950804374609</v>
      </c>
      <c r="V117">
        <f t="shared" si="17"/>
        <v>19.256791993046708</v>
      </c>
      <c r="W117">
        <f t="shared" si="17"/>
        <v>53.963020657256969</v>
      </c>
      <c r="X117">
        <f t="shared" si="17"/>
        <v>4.4120708713480541</v>
      </c>
      <c r="Y117">
        <f t="shared" si="17"/>
        <v>9.5029218767496548</v>
      </c>
      <c r="Z117" s="34" t="s">
        <v>15</v>
      </c>
    </row>
    <row r="118" spans="1:26" x14ac:dyDescent="0.25">
      <c r="A118" s="208" t="s">
        <v>214</v>
      </c>
      <c r="B118">
        <f>(B62/3.67)/0.508</f>
        <v>1.4133536441459807E-2</v>
      </c>
      <c r="C118">
        <f t="shared" ref="C118:Y118" si="18">(C62/3.67)/0.508</f>
        <v>3.3208795511596473E-2</v>
      </c>
      <c r="D118">
        <f t="shared" si="18"/>
        <v>2.6582446523203674E-2</v>
      </c>
      <c r="E118">
        <f t="shared" si="18"/>
        <v>1.7259327597674266E-2</v>
      </c>
      <c r="F118">
        <f t="shared" si="18"/>
        <v>0.51213284987877883</v>
      </c>
      <c r="G118">
        <f t="shared" si="18"/>
        <v>1.2033304726554956</v>
      </c>
      <c r="H118">
        <f t="shared" si="18"/>
        <v>0.96322276813490937</v>
      </c>
      <c r="I118">
        <f t="shared" si="18"/>
        <v>0.62539681177454987</v>
      </c>
      <c r="J118">
        <f t="shared" si="18"/>
        <v>1.5713166984917073</v>
      </c>
      <c r="K118">
        <f t="shared" si="18"/>
        <v>3.6920366774657247</v>
      </c>
      <c r="L118">
        <f t="shared" si="18"/>
        <v>2.9553425840502903</v>
      </c>
      <c r="M118">
        <f t="shared" si="18"/>
        <v>1.9188311270355505</v>
      </c>
      <c r="N118">
        <f t="shared" si="18"/>
        <v>3.3554678281018688</v>
      </c>
      <c r="O118">
        <f t="shared" si="18"/>
        <v>7.8841587461649025</v>
      </c>
      <c r="P118">
        <f t="shared" si="18"/>
        <v>6.3109855392735303</v>
      </c>
      <c r="Q118">
        <f t="shared" si="18"/>
        <v>4.0975674226007843</v>
      </c>
      <c r="R118">
        <f t="shared" si="18"/>
        <v>5.946061919371795</v>
      </c>
      <c r="S118">
        <f t="shared" si="18"/>
        <v>13.971135617584586</v>
      </c>
      <c r="T118">
        <f t="shared" si="18"/>
        <v>11.183391619644272</v>
      </c>
      <c r="U118">
        <f t="shared" si="18"/>
        <v>7.2611006457980203</v>
      </c>
      <c r="V118">
        <f t="shared" si="18"/>
        <v>9.3988017335707692</v>
      </c>
      <c r="W118">
        <f t="shared" si="18"/>
        <v>22.083849015211651</v>
      </c>
      <c r="X118">
        <f t="shared" si="18"/>
        <v>17.677326937930438</v>
      </c>
      <c r="Y118">
        <f t="shared" si="18"/>
        <v>11.477452852453387</v>
      </c>
      <c r="Z118" s="34" t="s">
        <v>15</v>
      </c>
    </row>
    <row r="119" spans="1:26" x14ac:dyDescent="0.25">
      <c r="A119" s="33" t="s">
        <v>216</v>
      </c>
      <c r="B119">
        <f>(B63/3.67)/0.5</f>
        <v>2.6730245231607632E-2</v>
      </c>
      <c r="C119">
        <f t="shared" ref="C119:Y119" si="19">(C63/3.67)/0.5</f>
        <v>2.8882152588555858E-2</v>
      </c>
      <c r="D119">
        <f t="shared" si="19"/>
        <v>1.9309782016348774E-2</v>
      </c>
      <c r="E119">
        <f t="shared" si="19"/>
        <v>6.8216893732970015E-3</v>
      </c>
      <c r="F119">
        <f t="shared" si="19"/>
        <v>0.97119891008174397</v>
      </c>
      <c r="G119">
        <f t="shared" si="19"/>
        <v>1.0493848773841961</v>
      </c>
      <c r="H119">
        <f t="shared" si="19"/>
        <v>0.7015887465940055</v>
      </c>
      <c r="I119">
        <f t="shared" si="19"/>
        <v>0.24785471389645772</v>
      </c>
      <c r="J119">
        <f t="shared" si="19"/>
        <v>4.7027411444141691</v>
      </c>
      <c r="K119">
        <f t="shared" si="19"/>
        <v>5.0813333787465931</v>
      </c>
      <c r="L119">
        <f t="shared" si="19"/>
        <v>3.3972343160762946</v>
      </c>
      <c r="M119">
        <f t="shared" si="19"/>
        <v>1.2001625504087194</v>
      </c>
      <c r="N119">
        <f t="shared" si="19"/>
        <v>11.984059945504088</v>
      </c>
      <c r="O119">
        <f t="shared" si="19"/>
        <v>12.948831743869208</v>
      </c>
      <c r="P119">
        <f t="shared" si="19"/>
        <v>8.6572189373297004</v>
      </c>
      <c r="Q119">
        <f t="shared" si="19"/>
        <v>3.0583907356948226</v>
      </c>
      <c r="R119">
        <f t="shared" si="19"/>
        <v>23.189378746594006</v>
      </c>
      <c r="S119">
        <f t="shared" si="19"/>
        <v>25.056230108991823</v>
      </c>
      <c r="T119">
        <f t="shared" si="19"/>
        <v>16.751879558583106</v>
      </c>
      <c r="U119">
        <f t="shared" si="19"/>
        <v>5.918042920980926</v>
      </c>
      <c r="V119">
        <f t="shared" si="19"/>
        <v>38.48442506811989</v>
      </c>
      <c r="W119">
        <f t="shared" si="19"/>
        <v>41.582597820163485</v>
      </c>
      <c r="X119">
        <f t="shared" si="19"/>
        <v>27.800936828337875</v>
      </c>
      <c r="Y119">
        <f t="shared" si="19"/>
        <v>9.8214135803814688</v>
      </c>
      <c r="Z119" s="34" t="s">
        <v>14</v>
      </c>
    </row>
    <row r="120" spans="1:26" x14ac:dyDescent="0.25">
      <c r="A120" s="33" t="s">
        <v>217</v>
      </c>
      <c r="B120">
        <f>(B64/3.67)/0.483</f>
        <v>0.17059590095960195</v>
      </c>
      <c r="C120">
        <f t="shared" ref="C120:Y120" si="20">(C64/3.67)/0.483</f>
        <v>0.3770738064210401</v>
      </c>
      <c r="D120">
        <f t="shared" si="20"/>
        <v>9.83201042530506E-2</v>
      </c>
      <c r="E120">
        <f t="shared" si="20"/>
        <v>6.482644236464874E-2</v>
      </c>
      <c r="F120">
        <f t="shared" si="20"/>
        <v>6.0575084197877711</v>
      </c>
      <c r="G120">
        <f t="shared" si="20"/>
        <v>13.389112777204236</v>
      </c>
      <c r="H120">
        <f t="shared" si="20"/>
        <v>3.4911440192710184</v>
      </c>
      <c r="I120">
        <f t="shared" si="20"/>
        <v>2.301853199519353</v>
      </c>
      <c r="J120">
        <f t="shared" si="20"/>
        <v>18.998426049723292</v>
      </c>
      <c r="K120">
        <f t="shared" si="20"/>
        <v>41.992854378571714</v>
      </c>
      <c r="L120">
        <f t="shared" si="20"/>
        <v>10.949426213323857</v>
      </c>
      <c r="M120">
        <f t="shared" si="20"/>
        <v>7.2194018988948487</v>
      </c>
      <c r="N120">
        <f t="shared" si="20"/>
        <v>39.824665324013743</v>
      </c>
      <c r="O120">
        <f t="shared" si="20"/>
        <v>88.025785254511717</v>
      </c>
      <c r="P120">
        <f t="shared" si="20"/>
        <v>22.952282115073253</v>
      </c>
      <c r="Q120">
        <f t="shared" si="20"/>
        <v>15.133372823125223</v>
      </c>
      <c r="R120">
        <f t="shared" si="20"/>
        <v>68.602569093032315</v>
      </c>
      <c r="S120">
        <f t="shared" si="20"/>
        <v>151.63454521863238</v>
      </c>
      <c r="T120">
        <f t="shared" si="20"/>
        <v>39.537947320617626</v>
      </c>
      <c r="U120">
        <f t="shared" si="20"/>
        <v>26.068976255352279</v>
      </c>
      <c r="V120">
        <f t="shared" si="20"/>
        <v>105.15341784148796</v>
      </c>
      <c r="W120">
        <f t="shared" si="20"/>
        <v>232.42410456896891</v>
      </c>
      <c r="X120">
        <f t="shared" si="20"/>
        <v>60.603419815977567</v>
      </c>
      <c r="Y120">
        <f t="shared" si="20"/>
        <v>39.958298779765435</v>
      </c>
      <c r="Z120" s="34" t="s">
        <v>14</v>
      </c>
    </row>
    <row r="121" spans="1:26" x14ac:dyDescent="0.25">
      <c r="A121" s="33" t="s">
        <v>218</v>
      </c>
      <c r="B121">
        <f>(B65/3.67)/0.5</f>
        <v>2.1384196185286104E-2</v>
      </c>
      <c r="C121">
        <f t="shared" ref="C121:Y123" si="21">(C65/3.67)/0.5</f>
        <v>2.3105722070844683E-2</v>
      </c>
      <c r="D121">
        <f t="shared" si="21"/>
        <v>1.5447825613079018E-2</v>
      </c>
      <c r="E121">
        <f t="shared" si="21"/>
        <v>5.4573514986376009E-3</v>
      </c>
      <c r="F121">
        <f t="shared" si="21"/>
        <v>0.78943324250681202</v>
      </c>
      <c r="G121">
        <f t="shared" si="21"/>
        <v>0.85298623978201615</v>
      </c>
      <c r="H121">
        <f t="shared" si="21"/>
        <v>0.57028222888283375</v>
      </c>
      <c r="I121">
        <f t="shared" si="21"/>
        <v>0.20146722615803808</v>
      </c>
      <c r="J121">
        <f t="shared" si="21"/>
        <v>3.6762997275204361</v>
      </c>
      <c r="K121">
        <f t="shared" si="21"/>
        <v>3.9722587193460481</v>
      </c>
      <c r="L121">
        <f t="shared" si="21"/>
        <v>2.6557386866485011</v>
      </c>
      <c r="M121">
        <f t="shared" si="21"/>
        <v>0.93820967847411418</v>
      </c>
      <c r="N121">
        <f t="shared" si="21"/>
        <v>9.1702561307901913</v>
      </c>
      <c r="O121">
        <f t="shared" si="21"/>
        <v>9.908503814713896</v>
      </c>
      <c r="P121">
        <f t="shared" si="21"/>
        <v>6.6245425504087203</v>
      </c>
      <c r="Q121">
        <f t="shared" si="21"/>
        <v>2.3402942343324247</v>
      </c>
      <c r="R121">
        <f t="shared" si="21"/>
        <v>17.481580381471389</v>
      </c>
      <c r="S121">
        <f t="shared" si="21"/>
        <v>18.888927792915535</v>
      </c>
      <c r="T121">
        <f t="shared" si="21"/>
        <v>12.628597438692099</v>
      </c>
      <c r="U121">
        <f t="shared" si="21"/>
        <v>4.4613848501362403</v>
      </c>
      <c r="V121">
        <f t="shared" si="21"/>
        <v>28.669079019073571</v>
      </c>
      <c r="W121">
        <f t="shared" si="21"/>
        <v>30.977071389645772</v>
      </c>
      <c r="X121">
        <f t="shared" si="21"/>
        <v>20.710384871934604</v>
      </c>
      <c r="Y121">
        <f t="shared" si="21"/>
        <v>7.3164892425068109</v>
      </c>
      <c r="Z121" s="34" t="s">
        <v>14</v>
      </c>
    </row>
    <row r="122" spans="1:26" x14ac:dyDescent="0.25">
      <c r="A122" s="33" t="s">
        <v>219</v>
      </c>
      <c r="B122">
        <f>(B66/3.67)/0.5</f>
        <v>2.3166212534059948E-2</v>
      </c>
      <c r="C122">
        <f t="shared" ref="C122:Q122" si="22">(C66/3.67)/0.5</f>
        <v>2.5031198910081744E-2</v>
      </c>
      <c r="D122">
        <f t="shared" si="22"/>
        <v>1.6735144414168939E-2</v>
      </c>
      <c r="E122">
        <f t="shared" si="22"/>
        <v>5.9121307901907356E-3</v>
      </c>
      <c r="F122">
        <f t="shared" si="22"/>
        <v>0.83398365122615803</v>
      </c>
      <c r="G122">
        <f t="shared" si="22"/>
        <v>0.90112316076294263</v>
      </c>
      <c r="H122">
        <f t="shared" si="22"/>
        <v>0.60246519891008166</v>
      </c>
      <c r="I122">
        <f t="shared" si="22"/>
        <v>0.21283670844686645</v>
      </c>
      <c r="J122">
        <f t="shared" si="22"/>
        <v>3.90083378746594</v>
      </c>
      <c r="K122">
        <f t="shared" si="22"/>
        <v>4.214868801089918</v>
      </c>
      <c r="L122">
        <f t="shared" si="22"/>
        <v>2.8179408555858307</v>
      </c>
      <c r="M122">
        <f t="shared" si="22"/>
        <v>0.99551186920980927</v>
      </c>
      <c r="N122">
        <f t="shared" si="22"/>
        <v>9.713771117166214</v>
      </c>
      <c r="O122">
        <f t="shared" si="22"/>
        <v>10.495774250681199</v>
      </c>
      <c r="P122">
        <f t="shared" si="22"/>
        <v>7.0171747847411439</v>
      </c>
      <c r="Q122">
        <f t="shared" si="22"/>
        <v>2.4790019182561309</v>
      </c>
      <c r="R122">
        <f t="shared" si="21"/>
        <v>18.454561307901908</v>
      </c>
      <c r="S122">
        <f t="shared" si="21"/>
        <v>19.940238147138963</v>
      </c>
      <c r="T122">
        <f t="shared" si="21"/>
        <v>13.331473504087194</v>
      </c>
      <c r="U122">
        <f t="shared" si="21"/>
        <v>4.7096943433242506</v>
      </c>
      <c r="V122">
        <f t="shared" si="21"/>
        <v>30.157062670299727</v>
      </c>
      <c r="W122">
        <f t="shared" si="21"/>
        <v>32.584844550408718</v>
      </c>
      <c r="X122">
        <f t="shared" si="21"/>
        <v>21.785296070844687</v>
      </c>
      <c r="Y122">
        <f t="shared" si="21"/>
        <v>7.6962299509536773</v>
      </c>
      <c r="Z122" s="34" t="s">
        <v>14</v>
      </c>
    </row>
    <row r="123" spans="1:26" x14ac:dyDescent="0.25">
      <c r="A123" s="33" t="s">
        <v>220</v>
      </c>
      <c r="B123">
        <f>(B67/3.67)/0.5</f>
        <v>2.1384196185286104E-2</v>
      </c>
      <c r="C123">
        <f t="shared" si="21"/>
        <v>2.3105722070844683E-2</v>
      </c>
      <c r="D123">
        <f t="shared" si="21"/>
        <v>1.5447825613079018E-2</v>
      </c>
      <c r="E123">
        <f t="shared" si="21"/>
        <v>5.4573514986376009E-3</v>
      </c>
      <c r="F123">
        <f t="shared" si="21"/>
        <v>0.77339509536784745</v>
      </c>
      <c r="G123">
        <f t="shared" si="21"/>
        <v>0.83565694822888281</v>
      </c>
      <c r="H123">
        <f t="shared" si="21"/>
        <v>0.55869635967302445</v>
      </c>
      <c r="I123">
        <f t="shared" si="21"/>
        <v>0.19737421253405993</v>
      </c>
      <c r="J123">
        <f t="shared" si="21"/>
        <v>3.6513514986376019</v>
      </c>
      <c r="K123">
        <f t="shared" si="21"/>
        <v>3.9453020435967301</v>
      </c>
      <c r="L123">
        <f t="shared" si="21"/>
        <v>2.6377162234332423</v>
      </c>
      <c r="M123">
        <f t="shared" si="21"/>
        <v>0.93184276839237035</v>
      </c>
      <c r="N123">
        <f t="shared" si="21"/>
        <v>9.2522288828337871</v>
      </c>
      <c r="O123">
        <f t="shared" si="21"/>
        <v>9.9970757493188014</v>
      </c>
      <c r="P123">
        <f t="shared" si="21"/>
        <v>6.6837592152588554</v>
      </c>
      <c r="Q123">
        <f t="shared" si="21"/>
        <v>2.3612140817438689</v>
      </c>
      <c r="R123">
        <f t="shared" si="21"/>
        <v>17.912828337874661</v>
      </c>
      <c r="S123">
        <f t="shared" si="21"/>
        <v>19.354893188010898</v>
      </c>
      <c r="T123">
        <f t="shared" si="21"/>
        <v>12.940128588555858</v>
      </c>
      <c r="U123">
        <f t="shared" si="21"/>
        <v>4.571441438692097</v>
      </c>
      <c r="V123">
        <f t="shared" si="21"/>
        <v>29.811351498637602</v>
      </c>
      <c r="W123">
        <f t="shared" si="21"/>
        <v>32.211302043596724</v>
      </c>
      <c r="X123">
        <f t="shared" si="21"/>
        <v>21.53555622343324</v>
      </c>
      <c r="Y123">
        <f t="shared" si="21"/>
        <v>7.6080027683923692</v>
      </c>
      <c r="Z123" s="34" t="s">
        <v>14</v>
      </c>
    </row>
    <row r="124" spans="1:26" x14ac:dyDescent="0.25">
      <c r="A124" s="33" t="s">
        <v>221</v>
      </c>
      <c r="B124">
        <f>(B68/3.67)/0.5</f>
        <v>1.194550408719346E-2</v>
      </c>
      <c r="C124">
        <f t="shared" ref="C124:Y127" si="23">(C68/3.67)/0.5</f>
        <v>1.876917711171662E-2</v>
      </c>
      <c r="D124">
        <f t="shared" si="23"/>
        <v>6.1719891008174387E-3</v>
      </c>
      <c r="E124">
        <f t="shared" si="23"/>
        <v>6.7100599455040873E-3</v>
      </c>
      <c r="F124">
        <f t="shared" si="23"/>
        <v>0.4016675749318801</v>
      </c>
      <c r="G124">
        <f t="shared" si="23"/>
        <v>0.63111358038147136</v>
      </c>
      <c r="H124">
        <f t="shared" si="23"/>
        <v>0.20753313351498637</v>
      </c>
      <c r="I124">
        <f t="shared" si="23"/>
        <v>0.22562576566757495</v>
      </c>
      <c r="J124">
        <f t="shared" si="23"/>
        <v>1.557395095367847</v>
      </c>
      <c r="K124">
        <f t="shared" si="23"/>
        <v>2.4470314659400545</v>
      </c>
      <c r="L124">
        <f t="shared" si="23"/>
        <v>0.80467307901907359</v>
      </c>
      <c r="M124">
        <f t="shared" si="23"/>
        <v>0.87482406539509538</v>
      </c>
      <c r="N124">
        <f t="shared" si="23"/>
        <v>3.277547683923705</v>
      </c>
      <c r="O124">
        <f t="shared" si="23"/>
        <v>5.1497929700272467</v>
      </c>
      <c r="P124">
        <f t="shared" si="23"/>
        <v>1.6934395095367847</v>
      </c>
      <c r="Q124">
        <f t="shared" si="23"/>
        <v>1.8410726975476839</v>
      </c>
      <c r="R124">
        <f t="shared" si="23"/>
        <v>5.487465940054495</v>
      </c>
      <c r="S124">
        <f t="shared" si="23"/>
        <v>8.6220907356948224</v>
      </c>
      <c r="T124">
        <f t="shared" si="23"/>
        <v>2.8352574931880112</v>
      </c>
      <c r="U124">
        <f t="shared" si="23"/>
        <v>3.08243378746594</v>
      </c>
      <c r="V124">
        <f t="shared" si="23"/>
        <v>8.1438474114441401</v>
      </c>
      <c r="W124">
        <f t="shared" si="23"/>
        <v>12.795886495912804</v>
      </c>
      <c r="X124">
        <f t="shared" si="23"/>
        <v>4.2077535694822883</v>
      </c>
      <c r="Y124">
        <f t="shared" si="23"/>
        <v>4.5745833678474117</v>
      </c>
      <c r="Z124" s="34" t="s">
        <v>15</v>
      </c>
    </row>
    <row r="125" spans="1:26" x14ac:dyDescent="0.25">
      <c r="A125" s="33" t="s">
        <v>222</v>
      </c>
      <c r="B125">
        <f t="shared" ref="B125:Q127" si="24">(B69/3.67)/0.5</f>
        <v>3.0294277929155317E-2</v>
      </c>
      <c r="C125">
        <f t="shared" si="24"/>
        <v>3.2733106267029972E-2</v>
      </c>
      <c r="D125">
        <f t="shared" si="24"/>
        <v>2.1884419618528612E-2</v>
      </c>
      <c r="E125">
        <f t="shared" si="24"/>
        <v>7.7312479564032692E-3</v>
      </c>
      <c r="F125">
        <f t="shared" si="24"/>
        <v>1.0834659400544959</v>
      </c>
      <c r="G125">
        <f t="shared" si="24"/>
        <v>1.1706899182561306</v>
      </c>
      <c r="H125">
        <f t="shared" si="24"/>
        <v>0.78268983106267032</v>
      </c>
      <c r="I125">
        <f t="shared" si="24"/>
        <v>0.27650580926430518</v>
      </c>
      <c r="J125">
        <f t="shared" si="24"/>
        <v>4.7847138964577667</v>
      </c>
      <c r="K125">
        <f t="shared" si="24"/>
        <v>5.1699053133514985</v>
      </c>
      <c r="L125">
        <f t="shared" si="24"/>
        <v>3.4564509809264305</v>
      </c>
      <c r="M125">
        <f t="shared" si="24"/>
        <v>1.2210823978201635</v>
      </c>
      <c r="N125">
        <f t="shared" si="24"/>
        <v>11.224920980926433</v>
      </c>
      <c r="O125">
        <f t="shared" si="24"/>
        <v>12.128578610354223</v>
      </c>
      <c r="P125">
        <f t="shared" si="24"/>
        <v>8.1088211280653955</v>
      </c>
      <c r="Q125">
        <f t="shared" si="24"/>
        <v>2.864654757493188</v>
      </c>
      <c r="R125">
        <f t="shared" si="23"/>
        <v>20.290038147138965</v>
      </c>
      <c r="S125">
        <f t="shared" si="23"/>
        <v>21.923479291553132</v>
      </c>
      <c r="T125">
        <f t="shared" si="23"/>
        <v>14.65741186920981</v>
      </c>
      <c r="U125">
        <f t="shared" si="23"/>
        <v>5.1781170136239769</v>
      </c>
      <c r="V125">
        <f t="shared" si="23"/>
        <v>31.874926430517711</v>
      </c>
      <c r="W125">
        <f t="shared" si="23"/>
        <v>34.441004223433247</v>
      </c>
      <c r="X125">
        <f t="shared" si="23"/>
        <v>23.026271395095367</v>
      </c>
      <c r="Y125">
        <f t="shared" si="23"/>
        <v>8.134637188010899</v>
      </c>
      <c r="Z125" s="34" t="s">
        <v>14</v>
      </c>
    </row>
    <row r="126" spans="1:26" x14ac:dyDescent="0.25">
      <c r="A126" s="33" t="s">
        <v>224</v>
      </c>
      <c r="B126">
        <f t="shared" si="24"/>
        <v>2.8512261580381476E-2</v>
      </c>
      <c r="C126">
        <f t="shared" si="23"/>
        <v>3.0807629427792915E-2</v>
      </c>
      <c r="D126">
        <f t="shared" si="23"/>
        <v>2.0597100817438697E-2</v>
      </c>
      <c r="E126">
        <f t="shared" si="23"/>
        <v>7.2764686648501362E-3</v>
      </c>
      <c r="F126">
        <f t="shared" si="23"/>
        <v>1.0050572207084469</v>
      </c>
      <c r="G126">
        <f t="shared" si="23"/>
        <v>1.0859689373297001</v>
      </c>
      <c r="H126">
        <f t="shared" si="23"/>
        <v>0.7260478038147139</v>
      </c>
      <c r="I126">
        <f t="shared" si="23"/>
        <v>0.25649552043596724</v>
      </c>
      <c r="J126">
        <f t="shared" si="23"/>
        <v>2.3201852861035421</v>
      </c>
      <c r="K126">
        <f t="shared" si="23"/>
        <v>2.5069708446866485</v>
      </c>
      <c r="L126">
        <f t="shared" si="23"/>
        <v>1.6760890790190737</v>
      </c>
      <c r="M126">
        <f t="shared" si="23"/>
        <v>0.59212263760217976</v>
      </c>
      <c r="N126">
        <f t="shared" si="23"/>
        <v>5.1072588555858314</v>
      </c>
      <c r="O126">
        <f t="shared" si="23"/>
        <v>5.5184166212534054</v>
      </c>
      <c r="P126">
        <f t="shared" si="23"/>
        <v>3.6894556839237058</v>
      </c>
      <c r="Q126">
        <f t="shared" si="23"/>
        <v>1.3033974495912803</v>
      </c>
      <c r="R126">
        <f t="shared" si="23"/>
        <v>11.871792915531337</v>
      </c>
      <c r="S126">
        <f t="shared" si="23"/>
        <v>12.827526702997275</v>
      </c>
      <c r="T126">
        <f t="shared" si="23"/>
        <v>8.5761178528610351</v>
      </c>
      <c r="U126">
        <f t="shared" si="23"/>
        <v>3.0297396403269752</v>
      </c>
      <c r="V126">
        <f t="shared" si="23"/>
        <v>14.245438692098093</v>
      </c>
      <c r="W126">
        <f t="shared" si="23"/>
        <v>15.392261852861035</v>
      </c>
      <c r="X126">
        <f t="shared" si="23"/>
        <v>10.290826495912807</v>
      </c>
      <c r="Y126">
        <f t="shared" si="23"/>
        <v>3.6355056566757487</v>
      </c>
      <c r="Z126" s="34" t="s">
        <v>14</v>
      </c>
    </row>
    <row r="127" spans="1:26" ht="15.75" thickBot="1" x14ac:dyDescent="0.3">
      <c r="A127" s="36" t="s">
        <v>223</v>
      </c>
      <c r="B127" s="37">
        <f t="shared" si="24"/>
        <v>2.6877384196185281E-2</v>
      </c>
      <c r="C127" s="37">
        <f t="shared" si="23"/>
        <v>4.2230648501362392E-2</v>
      </c>
      <c r="D127" s="37">
        <f t="shared" si="23"/>
        <v>1.3886975476839236E-2</v>
      </c>
      <c r="E127" s="37">
        <f t="shared" si="23"/>
        <v>1.5097634877384195E-2</v>
      </c>
      <c r="F127" s="37">
        <f t="shared" si="23"/>
        <v>0.94070844686648492</v>
      </c>
      <c r="G127" s="37">
        <f t="shared" si="23"/>
        <v>1.4780726975476837</v>
      </c>
      <c r="H127" s="37">
        <f t="shared" si="23"/>
        <v>0.48604414168937327</v>
      </c>
      <c r="I127" s="37">
        <f t="shared" si="23"/>
        <v>0.52841722070844677</v>
      </c>
      <c r="J127" s="37">
        <f t="shared" si="23"/>
        <v>2.171095367847411</v>
      </c>
      <c r="K127" s="37">
        <f t="shared" si="23"/>
        <v>3.4112979400544958</v>
      </c>
      <c r="L127" s="37">
        <f t="shared" si="23"/>
        <v>1.1217590190735696</v>
      </c>
      <c r="M127" s="37">
        <f t="shared" si="23"/>
        <v>1.2195533950953679</v>
      </c>
      <c r="N127" s="37">
        <f t="shared" si="23"/>
        <v>4.7528174386920972</v>
      </c>
      <c r="O127" s="37">
        <f t="shared" si="23"/>
        <v>7.4677863433242493</v>
      </c>
      <c r="P127" s="37">
        <f t="shared" si="23"/>
        <v>2.4556801634877385</v>
      </c>
      <c r="Q127" s="37">
        <f t="shared" si="23"/>
        <v>2.6697651008174383</v>
      </c>
      <c r="R127" s="37">
        <f t="shared" si="23"/>
        <v>7.2150844686648492</v>
      </c>
      <c r="S127" s="37">
        <f t="shared" si="23"/>
        <v>11.336582975476839</v>
      </c>
      <c r="T127" s="37">
        <f t="shared" si="23"/>
        <v>3.7278814168937333</v>
      </c>
      <c r="U127" s="37">
        <f t="shared" si="23"/>
        <v>4.0528762070844691</v>
      </c>
      <c r="V127" s="37">
        <f t="shared" si="23"/>
        <v>8.657504087193459</v>
      </c>
      <c r="W127" s="37">
        <f t="shared" si="23"/>
        <v>13.60296111171662</v>
      </c>
      <c r="X127" s="37">
        <f t="shared" si="23"/>
        <v>4.4731491008174391</v>
      </c>
      <c r="Y127" s="37">
        <f t="shared" si="23"/>
        <v>4.8631159455040871</v>
      </c>
      <c r="Z127" s="39" t="s">
        <v>14</v>
      </c>
    </row>
    <row r="129" spans="1:7" ht="15.75" thickBot="1" x14ac:dyDescent="0.3">
      <c r="A129" s="41" t="s">
        <v>255</v>
      </c>
    </row>
    <row r="130" spans="1:7" x14ac:dyDescent="0.25">
      <c r="A130" s="30" t="s">
        <v>197</v>
      </c>
      <c r="B130" s="31" t="s">
        <v>42</v>
      </c>
      <c r="C130" s="32" t="s">
        <v>43</v>
      </c>
    </row>
    <row r="131" spans="1:7" ht="15.75" thickBot="1" x14ac:dyDescent="0.3">
      <c r="A131" s="36" t="s">
        <v>256</v>
      </c>
      <c r="B131" s="37">
        <v>1.1999999999999999E-3</v>
      </c>
      <c r="C131" s="39">
        <v>1.4999999999999999E-4</v>
      </c>
    </row>
    <row r="133" spans="1:7" ht="15.75" thickBot="1" x14ac:dyDescent="0.3">
      <c r="A133" s="41" t="s">
        <v>257</v>
      </c>
    </row>
    <row r="134" spans="1:7" x14ac:dyDescent="0.25">
      <c r="A134" s="30" t="s">
        <v>44</v>
      </c>
      <c r="B134" s="31" t="s">
        <v>258</v>
      </c>
      <c r="C134" s="32"/>
    </row>
    <row r="135" spans="1:7" x14ac:dyDescent="0.25">
      <c r="A135" s="33" t="s">
        <v>10</v>
      </c>
      <c r="B135">
        <v>27.9</v>
      </c>
      <c r="C135" s="34" t="s">
        <v>45</v>
      </c>
    </row>
    <row r="136" spans="1:7" ht="15.75" thickBot="1" x14ac:dyDescent="0.3">
      <c r="A136" s="36" t="s">
        <v>11</v>
      </c>
      <c r="B136" s="37">
        <v>273</v>
      </c>
      <c r="C136" s="39" t="s">
        <v>46</v>
      </c>
    </row>
    <row r="138" spans="1:7" x14ac:dyDescent="0.25">
      <c r="A138" s="28" t="s">
        <v>259</v>
      </c>
      <c r="B138" s="29"/>
      <c r="C138" s="29"/>
      <c r="D138" s="29"/>
      <c r="E138" s="29"/>
      <c r="F138" s="29"/>
      <c r="G138" s="29"/>
    </row>
    <row r="140" spans="1:7" ht="15.75" thickBot="1" x14ac:dyDescent="0.3">
      <c r="A140" s="41" t="s">
        <v>260</v>
      </c>
    </row>
    <row r="141" spans="1:7" x14ac:dyDescent="0.25">
      <c r="A141" s="30" t="s">
        <v>261</v>
      </c>
      <c r="B141" s="32" t="s">
        <v>47</v>
      </c>
    </row>
    <row r="142" spans="1:7" x14ac:dyDescent="0.25">
      <c r="A142" s="33" t="s">
        <v>262</v>
      </c>
      <c r="B142" s="34">
        <v>100</v>
      </c>
    </row>
    <row r="143" spans="1:7" x14ac:dyDescent="0.25">
      <c r="A143" s="33" t="s">
        <v>263</v>
      </c>
      <c r="B143" s="34">
        <v>75</v>
      </c>
    </row>
    <row r="144" spans="1:7" x14ac:dyDescent="0.25">
      <c r="A144" s="33" t="s">
        <v>264</v>
      </c>
      <c r="B144" s="34">
        <v>0</v>
      </c>
    </row>
    <row r="145" spans="1:2" ht="15.75" thickBot="1" x14ac:dyDescent="0.3">
      <c r="A145" s="36" t="s">
        <v>265</v>
      </c>
      <c r="B145" s="39">
        <v>0</v>
      </c>
    </row>
  </sheetData>
  <sheetProtection sheet="1" objects="1" scenarios="1"/>
  <pageMargins left="0.7" right="0.7" top="0.75" bottom="0.75" header="0.3" footer="0.3"/>
  <pageSetup paperSize="9" orientation="portrait"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1deb843-d53c-4f8e-b6ae-1d7f0d153c77">
      <Terms xmlns="http://schemas.microsoft.com/office/infopath/2007/PartnerControls"/>
    </lcf76f155ced4ddcb4097134ff3c332f>
    <TaxCatchAll xmlns="1481b64c-d1ba-41b1-9a65-625d31fff0bb" xsi:nil="true"/>
    <_dlc_DocId xmlns="1481b64c-d1ba-41b1-9a65-625d31fff0bb">K7W4MJYM7X6U-1861046665-1251968</_dlc_DocId>
    <_dlc_DocIdUrl xmlns="1481b64c-d1ba-41b1-9a65-625d31fff0bb">
      <Url>https://caib.sharepoint.com/sites/ARXIUS-ENERGIA/_layouts/15/DocIdRedir.aspx?ID=K7W4MJYM7X6U-1861046665-1251968</Url>
      <Description>K7W4MJYM7X6U-1861046665-1251968</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69547EA90F71443837268004635B05D" ma:contentTypeVersion="15" ma:contentTypeDescription="Crea un document nou" ma:contentTypeScope="" ma:versionID="91487aaef5e7e1f5e2fa2c7fb1d40c61">
  <xsd:schema xmlns:xsd="http://www.w3.org/2001/XMLSchema" xmlns:xs="http://www.w3.org/2001/XMLSchema" xmlns:p="http://schemas.microsoft.com/office/2006/metadata/properties" xmlns:ns2="1481b64c-d1ba-41b1-9a65-625d31fff0bb" xmlns:ns3="51deb843-d53c-4f8e-b6ae-1d7f0d153c77" targetNamespace="http://schemas.microsoft.com/office/2006/metadata/properties" ma:root="true" ma:fieldsID="6d8a2e29e14ef2225763ec270f2c5418" ns2:_="" ns3:_="">
    <xsd:import namespace="1481b64c-d1ba-41b1-9a65-625d31fff0bb"/>
    <xsd:import namespace="51deb843-d53c-4f8e-b6ae-1d7f0d153c7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2:TaxCatchAll" minOccurs="0"/>
                <xsd:element ref="ns3:lcf76f155ced4ddcb4097134ff3c332f"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1b64c-d1ba-41b1-9a65-625d31fff0b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ab41bdf6-8f26-474c-92d8-fef4988d2b45}" ma:internalName="TaxCatchAll" ma:showField="CatchAllData" ma:web="1481b64c-d1ba-41b1-9a65-625d31fff0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deb843-d53c-4f8e-b6ae-1d7f0d153c7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92D2A3-519B-46DC-A576-CDBF5F625E3B}">
  <ds:schemaRefs>
    <ds:schemaRef ds:uri="http://schemas.microsoft.com/sharepoint/events"/>
  </ds:schemaRefs>
</ds:datastoreItem>
</file>

<file path=customXml/itemProps2.xml><?xml version="1.0" encoding="utf-8"?>
<ds:datastoreItem xmlns:ds="http://schemas.openxmlformats.org/officeDocument/2006/customXml" ds:itemID="{EF4CD8E1-3426-4516-B5BA-4BFB787DB43A}">
  <ds:schemaRefs>
    <ds:schemaRef ds:uri="http://schemas.microsoft.com/sharepoint/v3/contenttype/forms"/>
  </ds:schemaRefs>
</ds:datastoreItem>
</file>

<file path=customXml/itemProps3.xml><?xml version="1.0" encoding="utf-8"?>
<ds:datastoreItem xmlns:ds="http://schemas.openxmlformats.org/officeDocument/2006/customXml" ds:itemID="{084280C7-54F2-4C18-B194-909BBE8D97F1}">
  <ds:schemaRefs>
    <ds:schemaRef ds:uri="http://schemas.microsoft.com/office/2006/metadata/properties"/>
    <ds:schemaRef ds:uri="http://schemas.microsoft.com/office/infopath/2007/PartnerControls"/>
    <ds:schemaRef ds:uri="51deb843-d53c-4f8e-b6ae-1d7f0d153c77"/>
    <ds:schemaRef ds:uri="1481b64c-d1ba-41b1-9a65-625d31fff0bb"/>
  </ds:schemaRefs>
</ds:datastoreItem>
</file>

<file path=customXml/itemProps4.xml><?xml version="1.0" encoding="utf-8"?>
<ds:datastoreItem xmlns:ds="http://schemas.openxmlformats.org/officeDocument/2006/customXml" ds:itemID="{D4865CDF-37DD-4ACB-91FE-05F9751818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81b64c-d1ba-41b1-9a65-625d31fff0bb"/>
    <ds:schemaRef ds:uri="51deb843-d53c-4f8e-b6ae-1d7f0d153c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Contenido e instrucciones</vt:lpstr>
      <vt:lpstr>1. Datos generales del proyecto</vt:lpstr>
      <vt:lpstr>2.1 Absorciones árboles</vt:lpstr>
      <vt:lpstr>2.2 Emisiones restos corta</vt:lpstr>
      <vt:lpstr>2.3 Emisiones maquinaria</vt:lpstr>
      <vt:lpstr>2.4 Emisiones quema restos</vt:lpstr>
      <vt:lpstr>2.5 Emisiones productos</vt:lpstr>
      <vt:lpstr>3. Resultados</vt:lpstr>
      <vt:lpstr>Dades_PA</vt:lpstr>
      <vt:lpstr>Anys</vt:lpstr>
      <vt:lpstr>'3. Resultados'!Área_de_impresión</vt:lpstr>
      <vt:lpstr>Espècies</vt:lpstr>
      <vt:lpstr>Producte</vt:lpstr>
      <vt:lpstr>Restes</vt:lpstr>
      <vt:lpstr>Tractament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dc:creator>
  <cp:lastModifiedBy>Tomeu Canals Fonollar</cp:lastModifiedBy>
  <cp:revision>68</cp:revision>
  <cp:lastPrinted>2026-02-06T08:36:26Z</cp:lastPrinted>
  <dcterms:created xsi:type="dcterms:W3CDTF">2012-12-08T19:19:39Z</dcterms:created>
  <dcterms:modified xsi:type="dcterms:W3CDTF">2026-03-06T14:23:56Z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0x010100669547EA90F71443837268004635B05D</vt:lpwstr>
  </property>
  <property fmtid="{D5CDD505-2E9C-101B-9397-08002B2CF9AE}" pid="9" name="Order">
    <vt:r8>19766200</vt:r8>
  </property>
  <property fmtid="{D5CDD505-2E9C-101B-9397-08002B2CF9AE}" pid="10" name="MediaServiceImageTags">
    <vt:lpwstr/>
  </property>
  <property fmtid="{D5CDD505-2E9C-101B-9397-08002B2CF9AE}" pid="11" name="_dlc_DocIdItemGuid">
    <vt:lpwstr>565f7f71-9fef-48b7-b6a4-95bc7c567996</vt:lpwstr>
  </property>
</Properties>
</file>